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-460" windowWidth="28800" windowHeight="1800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8" i="2" l="1"/>
  <c r="R8" i="2"/>
  <c r="P9" i="2"/>
  <c r="R9" i="2"/>
  <c r="R28" i="2"/>
  <c r="P40" i="2"/>
  <c r="R40" i="2"/>
  <c r="H44" i="2"/>
  <c r="P44" i="2"/>
  <c r="R44" i="2"/>
  <c r="P45" i="2"/>
  <c r="R45" i="2"/>
  <c r="P48" i="2"/>
  <c r="R48" i="2"/>
  <c r="R58" i="2"/>
  <c r="R59" i="2"/>
  <c r="R60" i="2"/>
  <c r="R61" i="2"/>
  <c r="R62" i="2"/>
  <c r="R63" i="2"/>
  <c r="R64" i="2"/>
  <c r="R65" i="2"/>
  <c r="R77" i="2"/>
  <c r="R78" i="2"/>
  <c r="R81" i="2"/>
  <c r="R83" i="2"/>
  <c r="R84" i="2"/>
  <c r="L4" i="2"/>
  <c r="L5" i="2"/>
  <c r="L7" i="2"/>
  <c r="L8" i="2"/>
  <c r="L9" i="2"/>
  <c r="L10" i="2"/>
  <c r="L11" i="2"/>
  <c r="L12" i="2"/>
  <c r="L13" i="2"/>
  <c r="L14" i="2"/>
  <c r="L16" i="2"/>
  <c r="L17" i="2"/>
  <c r="L18" i="2"/>
  <c r="L19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2" i="2"/>
  <c r="H53" i="2"/>
  <c r="L53" i="2"/>
  <c r="P54" i="2"/>
  <c r="H54" i="2"/>
  <c r="L54" i="2"/>
  <c r="P55" i="2"/>
  <c r="H55" i="2"/>
  <c r="L55" i="2"/>
  <c r="H56" i="2"/>
  <c r="L56" i="2"/>
  <c r="P57" i="2"/>
  <c r="H57" i="2"/>
  <c r="L57" i="2"/>
  <c r="H58" i="2"/>
  <c r="L58" i="2"/>
  <c r="H59" i="2"/>
  <c r="L59" i="2"/>
  <c r="H60" i="2"/>
  <c r="L60" i="2"/>
  <c r="O61" i="2"/>
  <c r="H61" i="2"/>
  <c r="L61" i="2"/>
  <c r="O62" i="2"/>
  <c r="H62" i="2"/>
  <c r="L62" i="2"/>
  <c r="O63" i="2"/>
  <c r="H63" i="2"/>
  <c r="L63" i="2"/>
  <c r="P64" i="2"/>
  <c r="O64" i="2"/>
  <c r="H64" i="2"/>
  <c r="L64" i="2"/>
  <c r="L65" i="2"/>
  <c r="L66" i="2"/>
  <c r="L67" i="2"/>
  <c r="J27" i="2"/>
  <c r="J28" i="2"/>
  <c r="J29" i="2"/>
  <c r="J30" i="2"/>
  <c r="J42" i="2"/>
  <c r="J52" i="2"/>
  <c r="J59" i="2"/>
  <c r="J68" i="2"/>
  <c r="H68" i="2"/>
  <c r="L68" i="2"/>
  <c r="L70" i="2"/>
  <c r="P71" i="2"/>
  <c r="H71" i="2"/>
  <c r="L71" i="2"/>
  <c r="P72" i="2"/>
  <c r="H72" i="2"/>
  <c r="L72" i="2"/>
  <c r="P73" i="2"/>
  <c r="H73" i="2"/>
  <c r="L73" i="2"/>
  <c r="P74" i="2"/>
  <c r="H74" i="2"/>
  <c r="L74" i="2"/>
  <c r="P75" i="2"/>
  <c r="H75" i="2"/>
  <c r="L75" i="2"/>
  <c r="P76" i="2"/>
  <c r="H76" i="2"/>
  <c r="L76" i="2"/>
  <c r="H77" i="2"/>
  <c r="L77" i="2"/>
  <c r="H78" i="2"/>
  <c r="L78" i="2"/>
  <c r="L84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Q79" i="2"/>
  <c r="P79" i="2"/>
  <c r="H79" i="2"/>
  <c r="N79" i="2"/>
  <c r="N81" i="2"/>
  <c r="N83" i="2"/>
  <c r="N84" i="2"/>
  <c r="H84" i="2"/>
  <c r="L83" i="2"/>
  <c r="O81" i="2"/>
  <c r="M79" i="2"/>
  <c r="L79" i="2"/>
  <c r="O66" i="2"/>
  <c r="O69" i="2"/>
  <c r="O65" i="2"/>
  <c r="O68" i="2"/>
  <c r="O67" i="2"/>
  <c r="J63" i="2"/>
  <c r="J64" i="2"/>
  <c r="J67" i="2"/>
  <c r="P53" i="2"/>
  <c r="P52" i="2"/>
  <c r="P49" i="2"/>
  <c r="P47" i="2"/>
  <c r="P46" i="2"/>
  <c r="P43" i="2"/>
  <c r="P42" i="2"/>
  <c r="P41" i="2"/>
  <c r="P39" i="2"/>
  <c r="P38" i="2"/>
  <c r="P37" i="2"/>
  <c r="P36" i="2"/>
  <c r="P35" i="2"/>
  <c r="P34" i="2"/>
  <c r="Q34" i="2"/>
  <c r="P33" i="2"/>
  <c r="Q33" i="2"/>
  <c r="P32" i="2"/>
  <c r="Q32" i="2"/>
  <c r="P30" i="2"/>
  <c r="Q30" i="2"/>
  <c r="P29" i="2"/>
  <c r="Q29" i="2"/>
  <c r="P28" i="2"/>
  <c r="Q28" i="2"/>
  <c r="Q27" i="2"/>
  <c r="P26" i="2"/>
  <c r="Q26" i="2"/>
  <c r="M21" i="2"/>
  <c r="J20" i="2"/>
  <c r="J21" i="2"/>
  <c r="M20" i="2"/>
  <c r="M16" i="2"/>
  <c r="G15" i="2"/>
  <c r="M15" i="2"/>
  <c r="L15" i="2"/>
  <c r="M6" i="2"/>
  <c r="J6" i="2"/>
</calcChain>
</file>

<file path=xl/comments1.xml><?xml version="1.0" encoding="utf-8"?>
<comments xmlns="http://schemas.openxmlformats.org/spreadsheetml/2006/main">
  <authors>
    <author/>
  </authors>
  <commentList>
    <comment ref="E18" authorId="0">
      <text>
        <r>
          <rPr>
            <sz val="10"/>
            <color rgb="FF000000"/>
            <rFont val="Arial"/>
          </rPr>
          <t>======
ID#AAAADRskx6M
James MIllichap-Merrick    (2019-07-18 15:43:37)
To be amended to Jodie Hamlen issuance.</t>
        </r>
      </text>
    </comment>
    <comment ref="E19" authorId="0">
      <text>
        <r>
          <rPr>
            <sz val="10"/>
            <color rgb="FF000000"/>
            <rFont val="Arial"/>
          </rPr>
          <t>======
ID#AAAADRskx50
James MIllichap-Merrick    (2019-07-18 15:43:37)
Shares to be issued to VKr and Sale</t>
        </r>
      </text>
    </comment>
    <comment ref="E22" authorId="0">
      <text>
        <r>
          <rPr>
            <sz val="10"/>
            <color rgb="FF000000"/>
            <rFont val="Arial"/>
          </rPr>
          <t>======
ID#AAAADRskx6I
James MIllichap-Merrick    (2019-07-18 15:43:37)
Share issuance to Gemma Milne and For Sale</t>
        </r>
      </text>
    </comment>
    <comment ref="E23" authorId="0">
      <text>
        <r>
          <rPr>
            <sz val="10"/>
            <color rgb="FF000000"/>
            <rFont val="Arial"/>
          </rPr>
          <t>======
ID#AAAADRskx6Q
James MIllichap-Merrick    (2019-07-18 15:43:37)
Share Cert in Allied</t>
        </r>
      </text>
    </comment>
    <comment ref="E24" authorId="0">
      <text>
        <r>
          <rPr>
            <sz val="10"/>
            <color rgb="FF000000"/>
            <rFont val="Arial"/>
          </rPr>
          <t>======
ID#AAAADRskx5o
James MIllichap-Merrick    (2019-07-18 15:43:37)
Share Ceet in Allied S.</t>
        </r>
      </text>
    </comment>
    <comment ref="E44" authorId="0">
      <text>
        <r>
          <rPr>
            <sz val="10"/>
            <color rgb="FF000000"/>
            <rFont val="Arial"/>
          </rPr>
          <t>======
ID#AAAADRskx5s
James MIllichap-Merrick    (2019-07-18 15:43:37)
James to double check the Investment amount recived and the share to be issued as 4,250 share vs 4,174 as per monies received.</t>
        </r>
      </text>
    </comment>
    <comment ref="E45" authorId="0">
      <text>
        <r>
          <rPr>
            <sz val="10"/>
            <color rgb="FF000000"/>
            <rFont val="Arial"/>
          </rPr>
          <t>======
ID#AAAADRskx5w
James MIllichap-Merrick    (2019-07-18 15:43:37)
2,725 vs funds investment of 2,683.</t>
        </r>
      </text>
    </comment>
    <comment ref="F49" authorId="0">
      <text>
        <r>
          <rPr>
            <sz val="10"/>
            <color rgb="FF000000"/>
            <rFont val="Arial"/>
          </rPr>
          <t>======
ID#AAAADRskx6U
James MIllichap-Merrick    (2019-07-18 15:43:37)
Paul Meader</t>
        </r>
      </text>
    </comment>
    <comment ref="F54" authorId="0">
      <text>
        <r>
          <rPr>
            <sz val="10"/>
            <color rgb="FF000000"/>
            <rFont val="Arial"/>
          </rPr>
          <t>======
ID#AAAADRskx6A
James MIllichap-Merrick    (2019-07-18 15:43:37)
Paul Meader</t>
        </r>
      </text>
    </comment>
  </commentList>
</comments>
</file>

<file path=xl/sharedStrings.xml><?xml version="1.0" encoding="utf-8"?>
<sst xmlns="http://schemas.openxmlformats.org/spreadsheetml/2006/main" count="219" uniqueCount="104">
  <si>
    <t>Date</t>
  </si>
  <si>
    <t>Certi-ficate No</t>
  </si>
  <si>
    <t>EIS</t>
  </si>
  <si>
    <t>EIS3</t>
  </si>
  <si>
    <t>Share Cert No</t>
  </si>
  <si>
    <t>Share Holder</t>
  </si>
  <si>
    <t>No of Shares Held</t>
  </si>
  <si>
    <t>Class of Shares</t>
  </si>
  <si>
    <t>Fee Share Calc</t>
  </si>
  <si>
    <t>2NDY</t>
  </si>
  <si>
    <t>Share Capital</t>
  </si>
  <si>
    <t>Share Holder % of Total Current Share Capital</t>
  </si>
  <si>
    <t>Shares of £ (at time of transcation)</t>
  </si>
  <si>
    <t>Investment £</t>
  </si>
  <si>
    <t>Gemma Milne</t>
  </si>
  <si>
    <t>Ordinary</t>
  </si>
  <si>
    <t>Sub-division of founding share</t>
  </si>
  <si>
    <t>-</t>
  </si>
  <si>
    <t>Vladimir Vasilenko</t>
  </si>
  <si>
    <t>James Millichap-Merrick</t>
  </si>
  <si>
    <t>Allied Standard Limited</t>
  </si>
  <si>
    <t>Patricia Bader-Johnston</t>
  </si>
  <si>
    <t>Y</t>
  </si>
  <si>
    <t>Neil Craig</t>
  </si>
  <si>
    <t>George Payne</t>
  </si>
  <si>
    <t>Stephen Harragan</t>
  </si>
  <si>
    <t>Anne Dunphy</t>
  </si>
  <si>
    <t>Mike Wort</t>
  </si>
  <si>
    <t>Pershing Securities Limited A/c PSL982</t>
  </si>
  <si>
    <t xml:space="preserve"> ASL</t>
  </si>
  <si>
    <t>David Steeves</t>
  </si>
  <si>
    <t>Jodie Hamlen</t>
  </si>
  <si>
    <t>Veronika Koenig-Roach</t>
  </si>
  <si>
    <t>Aarti Maharaj</t>
  </si>
  <si>
    <t>Ting Leong</t>
  </si>
  <si>
    <t>Francesca Cranfield</t>
  </si>
  <si>
    <t>Steven Scott Cady</t>
  </si>
  <si>
    <t>Earned Shares</t>
  </si>
  <si>
    <t>N/A</t>
  </si>
  <si>
    <t>Neil Craig (Low Plains Pension)</t>
  </si>
  <si>
    <t>? France</t>
  </si>
  <si>
    <t>Wiliam Goody</t>
  </si>
  <si>
    <t>?</t>
  </si>
  <si>
    <t>Not in use</t>
  </si>
  <si>
    <t>n/a</t>
  </si>
  <si>
    <t>Jeremy Cotton</t>
  </si>
  <si>
    <t>Ian Balchin</t>
  </si>
  <si>
    <t>Patricia Elder</t>
  </si>
  <si>
    <t>Craig Walker</t>
  </si>
  <si>
    <t>Dr Scott Roberts</t>
  </si>
  <si>
    <t>J P Carrington</t>
  </si>
  <si>
    <t>Stephen Hands</t>
  </si>
  <si>
    <t>Michael Feast</t>
  </si>
  <si>
    <t>Patrick Frost</t>
  </si>
  <si>
    <t>Dr Roger Davidson</t>
  </si>
  <si>
    <t>Dan Steed</t>
  </si>
  <si>
    <t>39 ??? TBI</t>
  </si>
  <si>
    <r>
      <t>B</t>
    </r>
    <r>
      <rPr>
        <sz val="10"/>
        <rFont val="Arial"/>
      </rPr>
      <t>ruce</t>
    </r>
    <r>
      <rPr>
        <sz val="10"/>
        <rFont val="Arial"/>
      </rPr>
      <t xml:space="preserve"> Drew</t>
    </r>
  </si>
  <si>
    <t>40 ??? TBI</t>
  </si>
  <si>
    <t>Peter Glicklich</t>
  </si>
  <si>
    <t>41 ??? TBI</t>
  </si>
  <si>
    <t>Robert Fried and Karen Kowgios</t>
  </si>
  <si>
    <t>StJohn Hughes</t>
  </si>
  <si>
    <t>43 ??? TBI</t>
  </si>
  <si>
    <t>Sir David Ord</t>
  </si>
  <si>
    <t>N/a</t>
  </si>
  <si>
    <t>45 ??? TBI</t>
  </si>
  <si>
    <t>Dampfeet Investments Limited (Paul Meader)</t>
  </si>
  <si>
    <t>New To Verify:</t>
  </si>
  <si>
    <t>Geraldine Haley</t>
  </si>
  <si>
    <t>???</t>
  </si>
  <si>
    <t>Ian Balchin + £6k recently??? + commission</t>
  </si>
  <si>
    <t>Stephen (Harry) Harragan</t>
  </si>
  <si>
    <t>48 + 53</t>
  </si>
  <si>
    <t>Dr Andy McCabe</t>
  </si>
  <si>
    <t>Andy Dixon</t>
  </si>
  <si>
    <t>Robin Young</t>
  </si>
  <si>
    <t>Bruce Drew</t>
  </si>
  <si>
    <t>56 + 58</t>
  </si>
  <si>
    <t>Steven Dropsho</t>
  </si>
  <si>
    <t>??? New</t>
  </si>
  <si>
    <t>Will Battrick</t>
  </si>
  <si>
    <t>New</t>
  </si>
  <si>
    <t>Franics Hornak</t>
  </si>
  <si>
    <t>David Rutherford</t>
  </si>
  <si>
    <t>*</t>
  </si>
  <si>
    <t>Charles Perron (Earned in Shares)</t>
  </si>
  <si>
    <t>Earned Shares - EE Scheme</t>
  </si>
  <si>
    <t>Gary Argiropoulis ???</t>
  </si>
  <si>
    <t>Steve Hawkins Fee Shares</t>
  </si>
  <si>
    <t xml:space="preserve">Earned Shares </t>
  </si>
  <si>
    <t>Marcus Barrett Fee Shares</t>
  </si>
  <si>
    <t>TBIssued</t>
  </si>
  <si>
    <t>Active</t>
  </si>
  <si>
    <t xml:space="preserve">Interim £15m pre-money value @£10.42 / share </t>
  </si>
  <si>
    <t>Paul Meader</t>
  </si>
  <si>
    <t>No</t>
  </si>
  <si>
    <t>Steve DropSho</t>
  </si>
  <si>
    <t>Francis Hornak</t>
  </si>
  <si>
    <t xml:space="preserve">Dr Roger Davidson </t>
  </si>
  <si>
    <t>Available:</t>
  </si>
  <si>
    <t>TBC</t>
  </si>
  <si>
    <t>Equity £5m raise @ £20.08 / share est</t>
  </si>
  <si>
    <t>Paid Up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</si>
</sst>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£&quot;#,##0.00;[Red]\-&quot;£&quot;#,##0.00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??_-;_-@"/>
    <numFmt numFmtId="166" formatCode="d/m/yyyy"/>
    <numFmt numFmtId="167" formatCode="_-* #,##0_-;\-* #,##0_-;_-* &quot;-&quot;??_-;_-@"/>
    <numFmt numFmtId="168" formatCode="#,##0.0000"/>
    <numFmt numFmtId="169" formatCode="#,##0.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</font>
    <font>
      <strike/>
      <sz val="10"/>
      <color theme="1"/>
      <name val="Arial"/>
    </font>
    <font>
      <sz val="10"/>
      <color theme="1"/>
      <name val="Arial"/>
    </font>
    <font>
      <sz val="10"/>
      <color rgb="FF333333"/>
      <name val="Arial"/>
    </font>
    <font>
      <strike/>
      <sz val="10"/>
      <color rgb="FF000000"/>
      <name val="Arial"/>
    </font>
    <font>
      <sz val="10"/>
      <color rgb="FFFF6600"/>
      <name val="Arial"/>
    </font>
    <font>
      <sz val="10"/>
      <color rgb="FF000000"/>
      <name val="Arial"/>
    </font>
    <font>
      <b/>
      <sz val="10"/>
      <color rgb="FFFF6600"/>
      <name val="Arial"/>
    </font>
    <font>
      <sz val="9"/>
      <color rgb="FF000000"/>
      <name val="Arial"/>
    </font>
    <font>
      <sz val="10"/>
      <name val="Arial"/>
    </font>
    <font>
      <sz val="10"/>
      <color rgb="FFFF0000"/>
      <name val="Arial"/>
    </font>
    <font>
      <b/>
      <sz val="10"/>
      <color rgb="FFFF0000"/>
      <name val="Arial"/>
    </font>
    <font>
      <sz val="9"/>
      <color rgb="FFFF0000"/>
      <name val="Arial"/>
    </font>
    <font>
      <sz val="10"/>
      <color rgb="FFC0504D"/>
      <name val="Arial"/>
    </font>
    <font>
      <sz val="10"/>
      <color rgb="FF0000FF"/>
      <name val="Arial"/>
    </font>
    <font>
      <b/>
      <sz val="10"/>
      <color rgb="FF548DD4"/>
      <name val="Arial"/>
    </font>
    <font>
      <b/>
      <sz val="10"/>
      <color rgb="FF0000FF"/>
      <name val="Arial"/>
    </font>
    <font>
      <b/>
      <u/>
      <sz val="10"/>
      <color theme="1"/>
      <name val="Arial"/>
    </font>
    <font>
      <b/>
      <sz val="10"/>
      <name val="Arial"/>
    </font>
    <font>
      <sz val="10"/>
      <color theme="9" tint="-0.249977111117893"/>
      <name val="Arial"/>
    </font>
  </fonts>
  <fills count="14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CCFFCC"/>
        <bgColor rgb="FFCCFFCC"/>
      </patternFill>
    </fill>
    <fill>
      <patternFill patternType="solid">
        <fgColor theme="2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F8C97B"/>
        <bgColor rgb="FFF8C97B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rgb="FFFF8080"/>
        <bgColor rgb="FFFF8080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4" fontId="3" fillId="0" borderId="1" xfId="0" applyNumberFormat="1" applyFont="1" applyBorder="1"/>
    <xf numFmtId="14" fontId="4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4" fontId="4" fillId="0" borderId="1" xfId="0" applyNumberFormat="1" applyFont="1" applyBorder="1"/>
    <xf numFmtId="3" fontId="4" fillId="2" borderId="1" xfId="0" applyNumberFormat="1" applyFont="1" applyFill="1" applyBorder="1"/>
    <xf numFmtId="0" fontId="5" fillId="0" borderId="1" xfId="0" applyFont="1" applyBorder="1"/>
    <xf numFmtId="1" fontId="3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Border="1"/>
    <xf numFmtId="1" fontId="4" fillId="0" borderId="1" xfId="0" applyNumberFormat="1" applyFont="1" applyBorder="1"/>
    <xf numFmtId="14" fontId="3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1" fontId="3" fillId="3" borderId="1" xfId="0" applyNumberFormat="1" applyFont="1" applyFill="1" applyBorder="1" applyAlignment="1">
      <alignment vertical="top"/>
    </xf>
    <xf numFmtId="3" fontId="6" fillId="0" borderId="1" xfId="0" applyNumberFormat="1" applyFont="1" applyBorder="1"/>
    <xf numFmtId="3" fontId="3" fillId="3" borderId="1" xfId="0" applyNumberFormat="1" applyFont="1" applyFill="1" applyBorder="1"/>
    <xf numFmtId="4" fontId="3" fillId="3" borderId="1" xfId="0" applyNumberFormat="1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4" fontId="4" fillId="3" borderId="1" xfId="0" applyNumberFormat="1" applyFont="1" applyFill="1" applyBorder="1" applyAlignment="1">
      <alignment vertical="top"/>
    </xf>
    <xf numFmtId="14" fontId="7" fillId="0" borderId="1" xfId="0" applyNumberFormat="1" applyFont="1" applyBorder="1"/>
    <xf numFmtId="0" fontId="7" fillId="0" borderId="1" xfId="0" applyFont="1" applyBorder="1"/>
    <xf numFmtId="164" fontId="7" fillId="4" borderId="2" xfId="1" applyNumberFormat="1" applyFont="1" applyFill="1" applyBorder="1"/>
    <xf numFmtId="165" fontId="9" fillId="3" borderId="0" xfId="0" applyNumberFormat="1" applyFont="1" applyFill="1" applyBorder="1" applyAlignment="1">
      <alignment horizontal="center"/>
    </xf>
    <xf numFmtId="3" fontId="7" fillId="0" borderId="1" xfId="0" applyNumberFormat="1" applyFont="1" applyBorder="1"/>
    <xf numFmtId="4" fontId="9" fillId="5" borderId="1" xfId="0" applyNumberFormat="1" applyFont="1" applyFill="1" applyBorder="1" applyAlignment="1">
      <alignment horizontal="center"/>
    </xf>
    <xf numFmtId="4" fontId="9" fillId="0" borderId="1" xfId="0" applyNumberFormat="1" applyFont="1" applyBorder="1"/>
    <xf numFmtId="4" fontId="7" fillId="0" borderId="1" xfId="0" applyNumberFormat="1" applyFont="1" applyBorder="1"/>
    <xf numFmtId="14" fontId="4" fillId="3" borderId="1" xfId="0" applyNumberFormat="1" applyFont="1" applyFill="1" applyBorder="1"/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4" fontId="3" fillId="3" borderId="1" xfId="0" applyNumberFormat="1" applyFont="1" applyFill="1" applyBorder="1"/>
    <xf numFmtId="0" fontId="3" fillId="3" borderId="1" xfId="0" applyFont="1" applyFill="1" applyBorder="1"/>
    <xf numFmtId="1" fontId="3" fillId="3" borderId="1" xfId="0" applyNumberFormat="1" applyFont="1" applyFill="1" applyBorder="1"/>
    <xf numFmtId="3" fontId="3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/>
    <xf numFmtId="1" fontId="4" fillId="3" borderId="1" xfId="0" applyNumberFormat="1" applyFont="1" applyFill="1" applyBorder="1"/>
    <xf numFmtId="0" fontId="4" fillId="6" borderId="1" xfId="0" applyFont="1" applyFill="1" applyBorder="1"/>
    <xf numFmtId="3" fontId="2" fillId="6" borderId="1" xfId="0" applyNumberFormat="1" applyFont="1" applyFill="1" applyBorder="1"/>
    <xf numFmtId="3" fontId="4" fillId="6" borderId="1" xfId="0" applyNumberFormat="1" applyFont="1" applyFill="1" applyBorder="1"/>
    <xf numFmtId="4" fontId="4" fillId="6" borderId="1" xfId="0" applyNumberFormat="1" applyFont="1" applyFill="1" applyBorder="1"/>
    <xf numFmtId="0" fontId="4" fillId="7" borderId="1" xfId="0" applyFont="1" applyFill="1" applyBorder="1"/>
    <xf numFmtId="2" fontId="4" fillId="7" borderId="1" xfId="0" applyNumberFormat="1" applyFont="1" applyFill="1" applyBorder="1"/>
    <xf numFmtId="3" fontId="4" fillId="7" borderId="1" xfId="0" applyNumberFormat="1" applyFont="1" applyFill="1" applyBorder="1"/>
    <xf numFmtId="4" fontId="4" fillId="7" borderId="1" xfId="0" applyNumberFormat="1" applyFont="1" applyFill="1" applyBorder="1"/>
    <xf numFmtId="166" fontId="4" fillId="8" borderId="1" xfId="0" applyNumberFormat="1" applyFont="1" applyFill="1" applyBorder="1" applyAlignment="1">
      <alignment horizontal="right"/>
    </xf>
    <xf numFmtId="0" fontId="4" fillId="8" borderId="1" xfId="0" applyFont="1" applyFill="1" applyBorder="1" applyAlignment="1">
      <alignment horizontal="right"/>
    </xf>
    <xf numFmtId="0" fontId="4" fillId="7" borderId="1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right" wrapText="1"/>
    </xf>
    <xf numFmtId="4" fontId="4" fillId="7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3" fontId="4" fillId="2" borderId="1" xfId="0" applyNumberFormat="1" applyFont="1" applyFill="1" applyBorder="1" applyAlignment="1">
      <alignment wrapText="1"/>
    </xf>
    <xf numFmtId="16" fontId="4" fillId="7" borderId="1" xfId="0" applyNumberFormat="1" applyFont="1" applyFill="1" applyBorder="1" applyAlignment="1">
      <alignment wrapText="1"/>
    </xf>
    <xf numFmtId="166" fontId="4" fillId="7" borderId="1" xfId="0" applyNumberFormat="1" applyFont="1" applyFill="1" applyBorder="1" applyAlignment="1">
      <alignment wrapText="1"/>
    </xf>
    <xf numFmtId="0" fontId="10" fillId="7" borderId="1" xfId="0" applyFont="1" applyFill="1" applyBorder="1"/>
    <xf numFmtId="14" fontId="4" fillId="7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0" fontId="4" fillId="7" borderId="1" xfId="0" applyFont="1" applyFill="1" applyBorder="1" applyAlignment="1">
      <alignment horizontal="left"/>
    </xf>
    <xf numFmtId="2" fontId="4" fillId="7" borderId="1" xfId="0" applyNumberFormat="1" applyFont="1" applyFill="1" applyBorder="1" applyAlignment="1">
      <alignment horizontal="left"/>
    </xf>
    <xf numFmtId="0" fontId="12" fillId="7" borderId="1" xfId="0" applyFont="1" applyFill="1" applyBorder="1" applyAlignment="1">
      <alignment wrapText="1"/>
    </xf>
    <xf numFmtId="3" fontId="13" fillId="2" borderId="1" xfId="0" applyNumberFormat="1" applyFont="1" applyFill="1" applyBorder="1" applyAlignment="1">
      <alignment horizontal="right"/>
    </xf>
    <xf numFmtId="0" fontId="12" fillId="7" borderId="1" xfId="0" applyFont="1" applyFill="1" applyBorder="1"/>
    <xf numFmtId="14" fontId="0" fillId="7" borderId="1" xfId="0" applyNumberFormat="1" applyFont="1" applyFill="1" applyBorder="1"/>
    <xf numFmtId="14" fontId="13" fillId="9" borderId="1" xfId="0" applyNumberFormat="1" applyFont="1" applyFill="1" applyBorder="1" applyAlignment="1">
      <alignment horizontal="left"/>
    </xf>
    <xf numFmtId="14" fontId="4" fillId="9" borderId="1" xfId="0" applyNumberFormat="1" applyFont="1" applyFill="1" applyBorder="1"/>
    <xf numFmtId="3" fontId="2" fillId="7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4" fillId="7" borderId="1" xfId="0" applyFont="1" applyFill="1" applyBorder="1" applyAlignment="1">
      <alignment horizontal="right"/>
    </xf>
    <xf numFmtId="0" fontId="14" fillId="7" borderId="1" xfId="0" applyFont="1" applyFill="1" applyBorder="1"/>
    <xf numFmtId="167" fontId="12" fillId="2" borderId="0" xfId="0" applyNumberFormat="1" applyFont="1" applyFill="1" applyBorder="1"/>
    <xf numFmtId="167" fontId="4" fillId="2" borderId="0" xfId="0" applyNumberFormat="1" applyFont="1" applyFill="1" applyBorder="1"/>
    <xf numFmtId="0" fontId="4" fillId="10" borderId="1" xfId="0" applyFont="1" applyFill="1" applyBorder="1"/>
    <xf numFmtId="4" fontId="4" fillId="10" borderId="1" xfId="0" applyNumberFormat="1" applyFont="1" applyFill="1" applyBorder="1"/>
    <xf numFmtId="167" fontId="4" fillId="7" borderId="0" xfId="0" applyNumberFormat="1" applyFont="1" applyFill="1" applyBorder="1"/>
    <xf numFmtId="4" fontId="12" fillId="7" borderId="1" xfId="0" applyNumberFormat="1" applyFont="1" applyFill="1" applyBorder="1"/>
    <xf numFmtId="3" fontId="4" fillId="10" borderId="1" xfId="0" applyNumberFormat="1" applyFont="1" applyFill="1" applyBorder="1"/>
    <xf numFmtId="14" fontId="4" fillId="9" borderId="0" xfId="0" applyNumberFormat="1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12" fillId="7" borderId="0" xfId="0" applyFont="1" applyFill="1" applyBorder="1"/>
    <xf numFmtId="167" fontId="15" fillId="11" borderId="0" xfId="0" applyNumberFormat="1" applyFont="1" applyFill="1" applyBorder="1"/>
    <xf numFmtId="4" fontId="4" fillId="10" borderId="0" xfId="0" applyNumberFormat="1" applyFont="1" applyFill="1" applyBorder="1"/>
    <xf numFmtId="3" fontId="4" fillId="10" borderId="0" xfId="0" applyNumberFormat="1" applyFont="1" applyFill="1" applyBorder="1"/>
    <xf numFmtId="2" fontId="4" fillId="7" borderId="0" xfId="0" applyNumberFormat="1" applyFont="1" applyFill="1" applyBorder="1"/>
    <xf numFmtId="2" fontId="16" fillId="7" borderId="1" xfId="0" applyNumberFormat="1" applyFont="1" applyFill="1" applyBorder="1"/>
    <xf numFmtId="0" fontId="4" fillId="3" borderId="0" xfId="0" applyFont="1" applyFill="1" applyBorder="1" applyAlignment="1">
      <alignment horizontal="right"/>
    </xf>
    <xf numFmtId="0" fontId="17" fillId="3" borderId="0" xfId="0" applyFont="1" applyFill="1" applyBorder="1"/>
    <xf numFmtId="0" fontId="4" fillId="3" borderId="0" xfId="0" applyFont="1" applyFill="1" applyBorder="1"/>
    <xf numFmtId="167" fontId="4" fillId="3" borderId="0" xfId="0" applyNumberFormat="1" applyFont="1" applyFill="1" applyBorder="1"/>
    <xf numFmtId="2" fontId="4" fillId="3" borderId="0" xfId="0" applyNumberFormat="1" applyFont="1" applyFill="1" applyBorder="1"/>
    <xf numFmtId="0" fontId="4" fillId="5" borderId="0" xfId="0" applyFont="1" applyFill="1" applyBorder="1"/>
    <xf numFmtId="0" fontId="16" fillId="7" borderId="0" xfId="0" applyFont="1" applyFill="1" applyBorder="1"/>
    <xf numFmtId="167" fontId="18" fillId="6" borderId="0" xfId="0" applyNumberFormat="1" applyFont="1" applyFill="1" applyBorder="1" applyAlignment="1">
      <alignment horizontal="left"/>
    </xf>
    <xf numFmtId="1" fontId="4" fillId="7" borderId="0" xfId="0" applyNumberFormat="1" applyFont="1" applyFill="1" applyBorder="1"/>
    <xf numFmtId="167" fontId="9" fillId="6" borderId="0" xfId="0" applyNumberFormat="1" applyFont="1" applyFill="1" applyBorder="1" applyAlignment="1">
      <alignment horizontal="left"/>
    </xf>
    <xf numFmtId="167" fontId="9" fillId="6" borderId="0" xfId="0" applyNumberFormat="1" applyFont="1" applyFill="1" applyBorder="1" applyAlignment="1">
      <alignment horizontal="right"/>
    </xf>
    <xf numFmtId="165" fontId="9" fillId="6" borderId="0" xfId="0" applyNumberFormat="1" applyFont="1" applyFill="1" applyBorder="1" applyAlignment="1">
      <alignment horizontal="left"/>
    </xf>
    <xf numFmtId="167" fontId="9" fillId="3" borderId="0" xfId="0" applyNumberFormat="1" applyFont="1" applyFill="1" applyBorder="1" applyAlignment="1">
      <alignment horizontal="left"/>
    </xf>
    <xf numFmtId="165" fontId="9" fillId="3" borderId="0" xfId="0" applyNumberFormat="1" applyFont="1" applyFill="1" applyBorder="1" applyAlignment="1">
      <alignment horizontal="left"/>
    </xf>
    <xf numFmtId="0" fontId="0" fillId="3" borderId="0" xfId="0" applyFont="1" applyFill="1" applyBorder="1"/>
    <xf numFmtId="4" fontId="4" fillId="3" borderId="0" xfId="0" applyNumberFormat="1" applyFont="1" applyFill="1" applyBorder="1"/>
    <xf numFmtId="3" fontId="4" fillId="3" borderId="0" xfId="0" applyNumberFormat="1" applyFont="1" applyFill="1" applyBorder="1"/>
    <xf numFmtId="0" fontId="4" fillId="5" borderId="0" xfId="0" applyFont="1" applyFill="1" applyBorder="1" applyAlignment="1">
      <alignment horizontal="right"/>
    </xf>
    <xf numFmtId="0" fontId="19" fillId="3" borderId="0" xfId="0" applyFont="1" applyFill="1" applyBorder="1"/>
    <xf numFmtId="3" fontId="12" fillId="3" borderId="1" xfId="0" applyNumberFormat="1" applyFont="1" applyFill="1" applyBorder="1"/>
    <xf numFmtId="4" fontId="12" fillId="3" borderId="0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3" fontId="12" fillId="3" borderId="0" xfId="0" applyNumberFormat="1" applyFont="1" applyFill="1" applyBorder="1"/>
    <xf numFmtId="0" fontId="4" fillId="7" borderId="0" xfId="0" applyFont="1" applyFill="1" applyBorder="1" applyAlignment="1">
      <alignment horizontal="center"/>
    </xf>
    <xf numFmtId="0" fontId="4" fillId="12" borderId="0" xfId="0" applyFont="1" applyFill="1" applyBorder="1"/>
    <xf numFmtId="165" fontId="9" fillId="12" borderId="0" xfId="0" applyNumberFormat="1" applyFont="1" applyFill="1" applyBorder="1" applyAlignment="1">
      <alignment horizontal="left"/>
    </xf>
    <xf numFmtId="3" fontId="12" fillId="12" borderId="1" xfId="0" applyNumberFormat="1" applyFont="1" applyFill="1" applyBorder="1"/>
    <xf numFmtId="4" fontId="12" fillId="12" borderId="0" xfId="0" applyNumberFormat="1" applyFont="1" applyFill="1" applyBorder="1"/>
    <xf numFmtId="3" fontId="18" fillId="12" borderId="0" xfId="0" applyNumberFormat="1" applyFont="1" applyFill="1" applyBorder="1"/>
    <xf numFmtId="167" fontId="9" fillId="12" borderId="0" xfId="0" applyNumberFormat="1" applyFont="1" applyFill="1" applyBorder="1" applyAlignment="1">
      <alignment horizontal="left"/>
    </xf>
    <xf numFmtId="3" fontId="4" fillId="12" borderId="1" xfId="0" applyNumberFormat="1" applyFont="1" applyFill="1" applyBorder="1"/>
    <xf numFmtId="4" fontId="4" fillId="12" borderId="1" xfId="0" applyNumberFormat="1" applyFont="1" applyFill="1" applyBorder="1"/>
    <xf numFmtId="4" fontId="4" fillId="12" borderId="0" xfId="0" applyNumberFormat="1" applyFont="1" applyFill="1" applyBorder="1"/>
    <xf numFmtId="3" fontId="4" fillId="12" borderId="0" xfId="0" applyNumberFormat="1" applyFont="1" applyFill="1" applyBorder="1"/>
    <xf numFmtId="0" fontId="10" fillId="12" borderId="0" xfId="0" applyFont="1" applyFill="1" applyBorder="1"/>
    <xf numFmtId="3" fontId="2" fillId="12" borderId="0" xfId="0" applyNumberFormat="1" applyFont="1" applyFill="1" applyBorder="1" applyAlignment="1">
      <alignment horizontal="right"/>
    </xf>
    <xf numFmtId="0" fontId="4" fillId="12" borderId="0" xfId="0" applyFont="1" applyFill="1" applyBorder="1" applyAlignment="1">
      <alignment horizontal="left"/>
    </xf>
    <xf numFmtId="3" fontId="16" fillId="12" borderId="1" xfId="0" applyNumberFormat="1" applyFont="1" applyFill="1" applyBorder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10" fillId="13" borderId="0" xfId="0" applyFont="1" applyFill="1" applyBorder="1"/>
    <xf numFmtId="168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8" fontId="2" fillId="0" borderId="3" xfId="0" applyNumberFormat="1" applyFont="1" applyBorder="1"/>
    <xf numFmtId="3" fontId="2" fillId="0" borderId="4" xfId="0" applyNumberFormat="1" applyFont="1" applyBorder="1"/>
    <xf numFmtId="169" fontId="20" fillId="0" borderId="4" xfId="0" applyNumberFormat="1" applyFont="1" applyFill="1" applyBorder="1"/>
    <xf numFmtId="0" fontId="21" fillId="0" borderId="0" xfId="0" applyFont="1"/>
    <xf numFmtId="4" fontId="4" fillId="0" borderId="0" xfId="0" applyNumberFormat="1" applyFont="1"/>
    <xf numFmtId="8" fontId="4" fillId="7" borderId="1" xfId="0" applyNumberFormat="1" applyFont="1" applyFill="1" applyBorder="1" applyAlignment="1">
      <alignment horizontal="right"/>
    </xf>
    <xf numFmtId="4" fontId="4" fillId="7" borderId="1" xfId="0" applyNumberFormat="1" applyFont="1" applyFill="1" applyBorder="1" applyAlignment="1">
      <alignment wrapText="1"/>
    </xf>
    <xf numFmtId="4" fontId="4" fillId="7" borderId="5" xfId="0" applyNumberFormat="1" applyFont="1" applyFill="1" applyBorder="1"/>
    <xf numFmtId="4" fontId="4" fillId="3" borderId="5" xfId="0" applyNumberFormat="1" applyFont="1" applyFill="1" applyBorder="1"/>
    <xf numFmtId="3" fontId="18" fillId="4" borderId="6" xfId="0" applyNumberFormat="1" applyFont="1" applyFill="1" applyBorder="1"/>
    <xf numFmtId="4" fontId="4" fillId="3" borderId="7" xfId="0" applyNumberFormat="1" applyFont="1" applyFill="1" applyBorder="1"/>
    <xf numFmtId="3" fontId="18" fillId="4" borderId="8" xfId="0" applyNumberFormat="1" applyFont="1" applyFill="1" applyBorder="1"/>
    <xf numFmtId="3" fontId="4" fillId="4" borderId="9" xfId="0" applyNumberFormat="1" applyFont="1" applyFill="1" applyBorder="1"/>
    <xf numFmtId="4" fontId="4" fillId="12" borderId="5" xfId="0" applyNumberFormat="1" applyFont="1" applyFill="1" applyBorder="1"/>
    <xf numFmtId="4" fontId="4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4"/>
  <sheetViews>
    <sheetView tabSelected="1" zoomScale="150" zoomScaleNormal="150" zoomScalePageLayoutView="150" workbookViewId="0"/>
  </sheetViews>
  <sheetFormatPr baseColWidth="10" defaultRowHeight="15" x14ac:dyDescent="0"/>
  <cols>
    <col min="6" max="6" width="36.5" customWidth="1"/>
    <col min="8" max="8" width="13" bestFit="1" customWidth="1"/>
    <col min="12" max="12" width="17.6640625" bestFit="1" customWidth="1"/>
  </cols>
  <sheetData>
    <row r="1" spans="1:18" ht="7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3" t="s">
        <v>6</v>
      </c>
      <c r="I1" s="2" t="s">
        <v>7</v>
      </c>
      <c r="J1" s="2" t="s">
        <v>8</v>
      </c>
      <c r="K1" s="2" t="s">
        <v>9</v>
      </c>
      <c r="L1" s="3" t="s">
        <v>10</v>
      </c>
      <c r="M1" s="3"/>
      <c r="N1" s="4" t="s">
        <v>11</v>
      </c>
      <c r="O1" s="2" t="s">
        <v>12</v>
      </c>
      <c r="P1" s="4" t="s">
        <v>13</v>
      </c>
      <c r="Q1" s="4"/>
      <c r="R1" s="4" t="s">
        <v>103</v>
      </c>
    </row>
    <row r="2" spans="1:18">
      <c r="A2" s="5">
        <v>41918</v>
      </c>
      <c r="B2" s="6">
        <v>1</v>
      </c>
      <c r="C2" s="6"/>
      <c r="D2" s="6"/>
      <c r="E2" s="6">
        <v>1</v>
      </c>
      <c r="F2" s="6" t="s">
        <v>14</v>
      </c>
      <c r="G2" s="6"/>
      <c r="H2" s="7">
        <v>1</v>
      </c>
      <c r="I2" s="6" t="s">
        <v>15</v>
      </c>
      <c r="J2" s="6"/>
      <c r="K2" s="6"/>
      <c r="L2" s="7">
        <v>1</v>
      </c>
      <c r="M2" s="7"/>
      <c r="N2" s="8">
        <v>100</v>
      </c>
      <c r="O2" s="6">
        <v>1</v>
      </c>
      <c r="P2" s="8">
        <v>1</v>
      </c>
      <c r="Q2" s="8"/>
      <c r="R2" s="8">
        <v>1</v>
      </c>
    </row>
    <row r="3" spans="1:18">
      <c r="A3" s="9"/>
      <c r="B3" s="10">
        <v>1</v>
      </c>
      <c r="C3" s="10"/>
      <c r="D3" s="10"/>
      <c r="E3" s="10"/>
      <c r="F3" s="10" t="s">
        <v>16</v>
      </c>
      <c r="G3" s="10"/>
      <c r="H3" s="11">
        <v>-1</v>
      </c>
      <c r="I3" s="10"/>
      <c r="J3" s="10"/>
      <c r="K3" s="10"/>
      <c r="L3" s="11">
        <v>1000000</v>
      </c>
      <c r="M3" s="11"/>
      <c r="N3" s="8">
        <v>100</v>
      </c>
      <c r="O3" s="10"/>
      <c r="P3" s="12" t="s">
        <v>17</v>
      </c>
      <c r="Q3" s="12"/>
      <c r="R3" s="12" t="s">
        <v>17</v>
      </c>
    </row>
    <row r="4" spans="1:18">
      <c r="A4" s="9">
        <v>41918</v>
      </c>
      <c r="B4" s="10">
        <v>2</v>
      </c>
      <c r="C4" s="10"/>
      <c r="D4" s="10"/>
      <c r="E4" s="10">
        <v>2</v>
      </c>
      <c r="F4" s="10" t="s">
        <v>18</v>
      </c>
      <c r="G4" s="10"/>
      <c r="H4" s="13">
        <v>405000</v>
      </c>
      <c r="I4" s="10" t="s">
        <v>15</v>
      </c>
      <c r="J4" s="10"/>
      <c r="K4" s="10"/>
      <c r="L4" s="11">
        <f>SUM(H4)</f>
        <v>405000</v>
      </c>
      <c r="M4" s="11"/>
      <c r="N4" s="12">
        <f t="shared" ref="N4:N50" si="0">SUM(H4/$L$84)*100</f>
        <v>27.825393398902332</v>
      </c>
      <c r="O4" s="10">
        <v>9.9999999999999995E-7</v>
      </c>
      <c r="P4" s="12">
        <v>0.505</v>
      </c>
      <c r="Q4" s="12"/>
      <c r="R4" s="12">
        <v>0.505</v>
      </c>
    </row>
    <row r="5" spans="1:18">
      <c r="A5" s="9">
        <v>41918</v>
      </c>
      <c r="B5" s="10">
        <v>3</v>
      </c>
      <c r="C5" s="10"/>
      <c r="D5" s="10"/>
      <c r="E5" s="10">
        <v>3</v>
      </c>
      <c r="F5" s="10" t="s">
        <v>19</v>
      </c>
      <c r="G5" s="14"/>
      <c r="H5" s="13">
        <v>350000</v>
      </c>
      <c r="I5" s="10" t="s">
        <v>15</v>
      </c>
      <c r="J5" s="10"/>
      <c r="K5" s="10"/>
      <c r="L5" s="11">
        <f>SUM(L4+H5)</f>
        <v>755000</v>
      </c>
      <c r="M5" s="11"/>
      <c r="N5" s="12">
        <f t="shared" si="0"/>
        <v>24.046636270656339</v>
      </c>
      <c r="O5" s="10">
        <v>9.9999999999999995E-7</v>
      </c>
      <c r="P5" s="12">
        <v>0.25</v>
      </c>
      <c r="Q5" s="12"/>
      <c r="R5" s="12">
        <v>0.25</v>
      </c>
    </row>
    <row r="6" spans="1:18">
      <c r="A6" s="5">
        <v>41918</v>
      </c>
      <c r="B6" s="6">
        <v>4</v>
      </c>
      <c r="C6" s="6"/>
      <c r="D6" s="6"/>
      <c r="E6" s="6">
        <v>4</v>
      </c>
      <c r="F6" s="6" t="s">
        <v>20</v>
      </c>
      <c r="G6" s="15">
        <v>240000</v>
      </c>
      <c r="H6" s="16"/>
      <c r="I6" s="6" t="s">
        <v>15</v>
      </c>
      <c r="J6" s="7">
        <f>SUM(L5+G6)</f>
        <v>995000</v>
      </c>
      <c r="K6" s="7"/>
      <c r="L6" s="17"/>
      <c r="M6" s="8">
        <f>SUM(G6/L84)*100</f>
        <v>16.489122014164344</v>
      </c>
      <c r="N6" s="17">
        <f t="shared" si="0"/>
        <v>0</v>
      </c>
      <c r="O6" s="6">
        <v>9.9999999999999995E-7</v>
      </c>
      <c r="P6" s="8">
        <v>0.24</v>
      </c>
      <c r="Q6" s="8"/>
      <c r="R6" s="8">
        <v>0.24</v>
      </c>
    </row>
    <row r="7" spans="1:18">
      <c r="A7" s="9">
        <v>41918</v>
      </c>
      <c r="B7" s="10">
        <v>5</v>
      </c>
      <c r="C7" s="10"/>
      <c r="D7" s="10"/>
      <c r="E7" s="10">
        <v>5</v>
      </c>
      <c r="F7" s="10" t="s">
        <v>21</v>
      </c>
      <c r="G7" s="10"/>
      <c r="H7" s="13">
        <v>5000</v>
      </c>
      <c r="I7" s="10" t="s">
        <v>15</v>
      </c>
      <c r="J7" s="10"/>
      <c r="K7" s="10"/>
      <c r="L7" s="11">
        <f>SUM(L5+H7)</f>
        <v>760000</v>
      </c>
      <c r="M7" s="11"/>
      <c r="N7" s="12">
        <f t="shared" si="0"/>
        <v>0.34352337529509053</v>
      </c>
      <c r="O7" s="10">
        <v>9.9999999999999995E-7</v>
      </c>
      <c r="P7" s="12">
        <v>5.0000000000000001E-3</v>
      </c>
      <c r="Q7" s="12"/>
      <c r="R7" s="12">
        <v>5.0000000000000001E-3</v>
      </c>
    </row>
    <row r="8" spans="1:18">
      <c r="A8" s="9">
        <v>41932</v>
      </c>
      <c r="B8" s="10">
        <v>6</v>
      </c>
      <c r="C8" s="10"/>
      <c r="D8" s="10" t="s">
        <v>22</v>
      </c>
      <c r="E8" s="10">
        <v>6</v>
      </c>
      <c r="F8" s="10" t="s">
        <v>23</v>
      </c>
      <c r="G8" s="10"/>
      <c r="H8" s="13">
        <v>12000</v>
      </c>
      <c r="I8" s="10" t="s">
        <v>15</v>
      </c>
      <c r="J8" s="10"/>
      <c r="K8" s="10"/>
      <c r="L8" s="11">
        <f t="shared" ref="L8:L14" si="1">SUM(L7+H8)</f>
        <v>772000</v>
      </c>
      <c r="M8" s="11"/>
      <c r="N8" s="12">
        <f t="shared" si="0"/>
        <v>0.82445610070821729</v>
      </c>
      <c r="O8" s="10">
        <v>2.5</v>
      </c>
      <c r="P8" s="12">
        <f t="shared" ref="P8:P9" si="2">SUM(H8*O8)</f>
        <v>30000</v>
      </c>
      <c r="Q8" s="12"/>
      <c r="R8" s="12">
        <f t="shared" ref="R8:R9" si="3">SUM(P8)</f>
        <v>30000</v>
      </c>
    </row>
    <row r="9" spans="1:18">
      <c r="A9" s="9">
        <v>41943</v>
      </c>
      <c r="B9" s="10">
        <v>7</v>
      </c>
      <c r="C9" s="10"/>
      <c r="D9" s="10" t="s">
        <v>22</v>
      </c>
      <c r="E9" s="10">
        <v>7</v>
      </c>
      <c r="F9" s="10" t="s">
        <v>24</v>
      </c>
      <c r="G9" s="10"/>
      <c r="H9" s="13">
        <v>50000</v>
      </c>
      <c r="I9" s="10" t="s">
        <v>15</v>
      </c>
      <c r="J9" s="10"/>
      <c r="K9" s="10"/>
      <c r="L9" s="11">
        <f t="shared" si="1"/>
        <v>822000</v>
      </c>
      <c r="M9" s="11"/>
      <c r="N9" s="12">
        <f t="shared" si="0"/>
        <v>3.4352337529509049</v>
      </c>
      <c r="O9" s="10">
        <v>2.5</v>
      </c>
      <c r="P9" s="12">
        <f t="shared" si="2"/>
        <v>125000</v>
      </c>
      <c r="Q9" s="12"/>
      <c r="R9" s="12">
        <f t="shared" si="3"/>
        <v>125000</v>
      </c>
    </row>
    <row r="10" spans="1:18">
      <c r="A10" s="9">
        <v>41953</v>
      </c>
      <c r="B10" s="10">
        <v>8</v>
      </c>
      <c r="C10" s="10"/>
      <c r="D10" s="10" t="s">
        <v>22</v>
      </c>
      <c r="E10" s="10">
        <v>8</v>
      </c>
      <c r="F10" s="10" t="s">
        <v>23</v>
      </c>
      <c r="G10" s="10"/>
      <c r="H10" s="13">
        <v>38000</v>
      </c>
      <c r="I10" s="10" t="s">
        <v>15</v>
      </c>
      <c r="J10" s="10"/>
      <c r="K10" s="10"/>
      <c r="L10" s="11">
        <f t="shared" si="1"/>
        <v>860000</v>
      </c>
      <c r="M10" s="11"/>
      <c r="N10" s="12">
        <f t="shared" si="0"/>
        <v>2.6107776522426884</v>
      </c>
      <c r="O10" s="10">
        <v>2.5</v>
      </c>
      <c r="P10" s="12">
        <v>95000</v>
      </c>
      <c r="Q10" s="12"/>
      <c r="R10" s="12">
        <v>95000</v>
      </c>
    </row>
    <row r="11" spans="1:18">
      <c r="A11" s="9">
        <v>41970</v>
      </c>
      <c r="B11" s="10">
        <v>9</v>
      </c>
      <c r="C11" s="10"/>
      <c r="D11" s="10" t="s">
        <v>22</v>
      </c>
      <c r="E11" s="10">
        <v>9</v>
      </c>
      <c r="F11" s="10" t="s">
        <v>25</v>
      </c>
      <c r="G11" s="10"/>
      <c r="H11" s="13">
        <v>10000</v>
      </c>
      <c r="I11" s="10" t="s">
        <v>15</v>
      </c>
      <c r="J11" s="10"/>
      <c r="K11" s="10"/>
      <c r="L11" s="11">
        <f t="shared" si="1"/>
        <v>870000</v>
      </c>
      <c r="M11" s="11"/>
      <c r="N11" s="12">
        <f t="shared" si="0"/>
        <v>0.68704675059018105</v>
      </c>
      <c r="O11" s="10">
        <v>2.5</v>
      </c>
      <c r="P11" s="12">
        <v>25000</v>
      </c>
      <c r="Q11" s="12"/>
      <c r="R11" s="12">
        <v>25000</v>
      </c>
    </row>
    <row r="12" spans="1:18">
      <c r="A12" s="9">
        <v>41990</v>
      </c>
      <c r="B12" s="10">
        <v>10</v>
      </c>
      <c r="C12" s="10"/>
      <c r="D12" s="10"/>
      <c r="E12" s="10">
        <v>10</v>
      </c>
      <c r="F12" s="10" t="s">
        <v>26</v>
      </c>
      <c r="G12" s="10"/>
      <c r="H12" s="13">
        <v>2400</v>
      </c>
      <c r="I12" s="10" t="s">
        <v>15</v>
      </c>
      <c r="J12" s="10"/>
      <c r="K12" s="10"/>
      <c r="L12" s="11">
        <f t="shared" si="1"/>
        <v>872400</v>
      </c>
      <c r="M12" s="11"/>
      <c r="N12" s="12">
        <f t="shared" si="0"/>
        <v>0.16489122014164345</v>
      </c>
      <c r="O12" s="10">
        <v>2.5</v>
      </c>
      <c r="P12" s="12">
        <v>0</v>
      </c>
      <c r="Q12" s="12"/>
      <c r="R12" s="12">
        <v>0</v>
      </c>
    </row>
    <row r="13" spans="1:18">
      <c r="A13" s="9">
        <v>41990</v>
      </c>
      <c r="B13" s="10">
        <v>11</v>
      </c>
      <c r="C13" s="10"/>
      <c r="D13" s="10"/>
      <c r="E13" s="10">
        <v>11</v>
      </c>
      <c r="F13" s="10" t="s">
        <v>27</v>
      </c>
      <c r="G13" s="10"/>
      <c r="H13" s="13">
        <v>2400</v>
      </c>
      <c r="I13" s="10" t="s">
        <v>15</v>
      </c>
      <c r="J13" s="10"/>
      <c r="K13" s="10"/>
      <c r="L13" s="11">
        <f t="shared" si="1"/>
        <v>874800</v>
      </c>
      <c r="M13" s="11"/>
      <c r="N13" s="12">
        <f t="shared" si="0"/>
        <v>0.16489122014164345</v>
      </c>
      <c r="O13" s="10">
        <v>2.5</v>
      </c>
      <c r="P13" s="12">
        <v>0</v>
      </c>
      <c r="Q13" s="12"/>
      <c r="R13" s="12">
        <v>0</v>
      </c>
    </row>
    <row r="14" spans="1:18">
      <c r="A14" s="9">
        <v>42024</v>
      </c>
      <c r="B14" s="18">
        <v>12</v>
      </c>
      <c r="C14" s="18"/>
      <c r="D14" s="18"/>
      <c r="E14" s="18">
        <v>12</v>
      </c>
      <c r="F14" s="10" t="s">
        <v>28</v>
      </c>
      <c r="G14" s="10"/>
      <c r="H14" s="13">
        <v>11000</v>
      </c>
      <c r="I14" s="10" t="s">
        <v>15</v>
      </c>
      <c r="J14" s="10"/>
      <c r="K14" s="10"/>
      <c r="L14" s="11">
        <f t="shared" si="1"/>
        <v>885800</v>
      </c>
      <c r="M14" s="11"/>
      <c r="N14" s="12">
        <f t="shared" si="0"/>
        <v>0.75575142564919917</v>
      </c>
      <c r="O14" s="10">
        <v>2.5</v>
      </c>
      <c r="P14" s="12" t="s">
        <v>17</v>
      </c>
      <c r="Q14" s="12"/>
      <c r="R14" s="12" t="s">
        <v>17</v>
      </c>
    </row>
    <row r="15" spans="1:18">
      <c r="A15" s="19">
        <v>42025</v>
      </c>
      <c r="B15" s="20">
        <v>4</v>
      </c>
      <c r="C15" s="20"/>
      <c r="D15" s="20"/>
      <c r="E15" s="20"/>
      <c r="F15" s="20" t="s">
        <v>20</v>
      </c>
      <c r="G15" s="21">
        <f>-30000-5000-5000-5000-1200-1200-20000-172600</f>
        <v>-240000</v>
      </c>
      <c r="H15" s="22"/>
      <c r="I15" s="20" t="s">
        <v>15</v>
      </c>
      <c r="J15" s="20"/>
      <c r="K15" s="20"/>
      <c r="L15" s="23">
        <f>SUM(L14+G15)</f>
        <v>645800</v>
      </c>
      <c r="M15" s="24">
        <f>SUM(G15/L84)*100</f>
        <v>-16.489122014164344</v>
      </c>
      <c r="N15" s="17">
        <f t="shared" si="0"/>
        <v>0</v>
      </c>
      <c r="O15" s="25">
        <v>2.5</v>
      </c>
      <c r="P15" s="26" t="s">
        <v>17</v>
      </c>
      <c r="Q15" s="26"/>
      <c r="R15" s="26" t="s">
        <v>17</v>
      </c>
    </row>
    <row r="16" spans="1:18">
      <c r="A16" s="27">
        <v>42025</v>
      </c>
      <c r="B16" s="28">
        <v>13</v>
      </c>
      <c r="C16" s="28"/>
      <c r="D16" s="28"/>
      <c r="E16" s="28">
        <v>13</v>
      </c>
      <c r="F16" s="28" t="s">
        <v>20</v>
      </c>
      <c r="G16" s="28"/>
      <c r="H16" s="29">
        <v>189900</v>
      </c>
      <c r="I16" s="28" t="s">
        <v>15</v>
      </c>
      <c r="J16" s="28"/>
      <c r="K16" s="30" t="s">
        <v>29</v>
      </c>
      <c r="L16" s="31">
        <f>SUM(L14+H16)</f>
        <v>1075700</v>
      </c>
      <c r="M16" s="32">
        <f>N16+N19+N22+N23+N24</f>
        <v>13.047017793707539</v>
      </c>
      <c r="N16" s="33">
        <f t="shared" si="0"/>
        <v>13.047017793707539</v>
      </c>
      <c r="O16" s="28">
        <v>2.5</v>
      </c>
      <c r="P16" s="34" t="s">
        <v>17</v>
      </c>
      <c r="Q16" s="34"/>
      <c r="R16" s="34" t="s">
        <v>17</v>
      </c>
    </row>
    <row r="17" spans="1:18">
      <c r="A17" s="9">
        <v>42025</v>
      </c>
      <c r="B17" s="18">
        <v>14</v>
      </c>
      <c r="C17" s="18"/>
      <c r="D17" s="18"/>
      <c r="E17" s="18">
        <v>14</v>
      </c>
      <c r="F17" s="10" t="s">
        <v>30</v>
      </c>
      <c r="G17" s="10"/>
      <c r="H17" s="13">
        <v>20000</v>
      </c>
      <c r="I17" s="10" t="s">
        <v>15</v>
      </c>
      <c r="J17" s="10"/>
      <c r="K17" s="10"/>
      <c r="L17" s="11">
        <f t="shared" ref="L17:L19" si="4">SUM(L16+H17)</f>
        <v>1095700</v>
      </c>
      <c r="M17" s="11"/>
      <c r="N17" s="12">
        <f t="shared" si="0"/>
        <v>1.3740935011803621</v>
      </c>
      <c r="O17" s="10"/>
      <c r="P17" s="12"/>
      <c r="Q17" s="12"/>
      <c r="R17" s="12"/>
    </row>
    <row r="18" spans="1:18">
      <c r="A18" s="35">
        <v>42013</v>
      </c>
      <c r="B18" s="36">
        <v>15</v>
      </c>
      <c r="C18" s="36"/>
      <c r="D18" s="36"/>
      <c r="E18" s="36">
        <v>15</v>
      </c>
      <c r="F18" s="36" t="s">
        <v>31</v>
      </c>
      <c r="G18" s="36"/>
      <c r="H18" s="13">
        <v>30000</v>
      </c>
      <c r="I18" s="36" t="s">
        <v>15</v>
      </c>
      <c r="J18" s="36"/>
      <c r="K18" s="36"/>
      <c r="L18" s="37">
        <f t="shared" si="4"/>
        <v>1125700</v>
      </c>
      <c r="M18" s="37"/>
      <c r="N18" s="38">
        <f t="shared" si="0"/>
        <v>2.0611402517705431</v>
      </c>
      <c r="O18" s="36">
        <v>2.5</v>
      </c>
      <c r="P18" s="38" t="s">
        <v>17</v>
      </c>
      <c r="Q18" s="38"/>
      <c r="R18" s="38" t="s">
        <v>17</v>
      </c>
    </row>
    <row r="19" spans="1:18">
      <c r="A19" s="35">
        <v>42013</v>
      </c>
      <c r="B19" s="36">
        <v>16</v>
      </c>
      <c r="C19" s="36"/>
      <c r="D19" s="36"/>
      <c r="E19" s="36">
        <v>16</v>
      </c>
      <c r="F19" s="36" t="s">
        <v>32</v>
      </c>
      <c r="G19" s="36"/>
      <c r="H19" s="13">
        <v>0</v>
      </c>
      <c r="I19" s="36" t="s">
        <v>15</v>
      </c>
      <c r="J19" s="36"/>
      <c r="K19" s="30" t="s">
        <v>29</v>
      </c>
      <c r="L19" s="37">
        <f t="shared" si="4"/>
        <v>1125700</v>
      </c>
      <c r="M19" s="37"/>
      <c r="N19" s="38">
        <f t="shared" si="0"/>
        <v>0</v>
      </c>
      <c r="O19" s="36">
        <v>2.5</v>
      </c>
      <c r="P19" s="38" t="s">
        <v>17</v>
      </c>
      <c r="Q19" s="38"/>
      <c r="R19" s="38" t="s">
        <v>17</v>
      </c>
    </row>
    <row r="20" spans="1:18">
      <c r="A20" s="39">
        <v>42013</v>
      </c>
      <c r="B20" s="40">
        <v>17</v>
      </c>
      <c r="C20" s="40"/>
      <c r="D20" s="40"/>
      <c r="E20" s="40"/>
      <c r="F20" s="40" t="s">
        <v>33</v>
      </c>
      <c r="G20" s="41">
        <v>5000</v>
      </c>
      <c r="H20" s="16"/>
      <c r="I20" s="40" t="s">
        <v>15</v>
      </c>
      <c r="J20" s="23">
        <f>SUM(L19+G20)</f>
        <v>1130700</v>
      </c>
      <c r="K20" s="42"/>
      <c r="L20" s="17"/>
      <c r="M20" s="43">
        <f>SUM(G20/L84)*100</f>
        <v>0.34352337529509053</v>
      </c>
      <c r="N20" s="17">
        <f t="shared" si="0"/>
        <v>0</v>
      </c>
      <c r="O20" s="40">
        <v>2.5</v>
      </c>
      <c r="P20" s="43" t="s">
        <v>17</v>
      </c>
      <c r="Q20" s="43"/>
      <c r="R20" s="43" t="s">
        <v>17</v>
      </c>
    </row>
    <row r="21" spans="1:18">
      <c r="A21" s="39">
        <v>42013</v>
      </c>
      <c r="B21" s="40">
        <v>17</v>
      </c>
      <c r="C21" s="40"/>
      <c r="D21" s="40"/>
      <c r="E21" s="40"/>
      <c r="F21" s="40" t="s">
        <v>33</v>
      </c>
      <c r="G21" s="41">
        <v>-5000</v>
      </c>
      <c r="H21" s="16"/>
      <c r="I21" s="40" t="s">
        <v>15</v>
      </c>
      <c r="J21" s="23">
        <f>SUM(J20+G21)</f>
        <v>1125700</v>
      </c>
      <c r="K21" s="42"/>
      <c r="L21" s="17"/>
      <c r="M21" s="43">
        <f>SUM(G21/L84)*100</f>
        <v>-0.34352337529509053</v>
      </c>
      <c r="N21" s="17">
        <f t="shared" si="0"/>
        <v>0</v>
      </c>
      <c r="O21" s="40">
        <v>2.5</v>
      </c>
      <c r="P21" s="43" t="s">
        <v>17</v>
      </c>
      <c r="Q21" s="43"/>
      <c r="R21" s="43" t="s">
        <v>17</v>
      </c>
    </row>
    <row r="22" spans="1:18">
      <c r="A22" s="35">
        <v>42013</v>
      </c>
      <c r="B22" s="36">
        <v>18</v>
      </c>
      <c r="C22" s="36"/>
      <c r="D22" s="36"/>
      <c r="E22" s="36">
        <v>18</v>
      </c>
      <c r="F22" s="36" t="s">
        <v>14</v>
      </c>
      <c r="G22" s="36"/>
      <c r="H22" s="13">
        <v>0</v>
      </c>
      <c r="I22" s="36" t="s">
        <v>15</v>
      </c>
      <c r="J22" s="36"/>
      <c r="K22" s="30" t="s">
        <v>29</v>
      </c>
      <c r="L22" s="37">
        <f>SUM(L19+H22)</f>
        <v>1125700</v>
      </c>
      <c r="M22" s="37"/>
      <c r="N22" s="38">
        <f t="shared" si="0"/>
        <v>0</v>
      </c>
      <c r="O22" s="36">
        <v>2.5</v>
      </c>
      <c r="P22" s="38" t="s">
        <v>17</v>
      </c>
      <c r="Q22" s="38"/>
      <c r="R22" s="38" t="s">
        <v>17</v>
      </c>
    </row>
    <row r="23" spans="1:18">
      <c r="A23" s="35">
        <v>42013</v>
      </c>
      <c r="B23" s="44">
        <v>19</v>
      </c>
      <c r="C23" s="44"/>
      <c r="D23" s="44"/>
      <c r="E23" s="44">
        <v>19</v>
      </c>
      <c r="F23" s="36" t="s">
        <v>34</v>
      </c>
      <c r="G23" s="36"/>
      <c r="H23" s="13">
        <v>0</v>
      </c>
      <c r="I23" s="36" t="s">
        <v>15</v>
      </c>
      <c r="J23" s="36"/>
      <c r="K23" s="30" t="s">
        <v>29</v>
      </c>
      <c r="L23" s="37">
        <f t="shared" ref="L23:L50" si="5">SUM(L22+H23)</f>
        <v>1125700</v>
      </c>
      <c r="M23" s="37"/>
      <c r="N23" s="38">
        <f t="shared" si="0"/>
        <v>0</v>
      </c>
      <c r="O23" s="36">
        <v>2.5</v>
      </c>
      <c r="P23" s="38" t="s">
        <v>17</v>
      </c>
      <c r="Q23" s="38"/>
      <c r="R23" s="38" t="s">
        <v>17</v>
      </c>
    </row>
    <row r="24" spans="1:18">
      <c r="A24" s="35">
        <v>42013</v>
      </c>
      <c r="B24" s="44">
        <v>20</v>
      </c>
      <c r="C24" s="44"/>
      <c r="D24" s="44"/>
      <c r="E24" s="44">
        <v>20</v>
      </c>
      <c r="F24" s="36" t="s">
        <v>35</v>
      </c>
      <c r="G24" s="36"/>
      <c r="H24" s="13">
        <v>0</v>
      </c>
      <c r="I24" s="36" t="s">
        <v>15</v>
      </c>
      <c r="J24" s="36"/>
      <c r="K24" s="30" t="s">
        <v>29</v>
      </c>
      <c r="L24" s="37">
        <f t="shared" si="5"/>
        <v>1125700</v>
      </c>
      <c r="M24" s="37"/>
      <c r="N24" s="38">
        <f t="shared" si="0"/>
        <v>0</v>
      </c>
      <c r="O24" s="36">
        <v>2.5</v>
      </c>
      <c r="P24" s="38" t="s">
        <v>17</v>
      </c>
      <c r="Q24" s="38"/>
      <c r="R24" s="38" t="s">
        <v>17</v>
      </c>
    </row>
    <row r="25" spans="1:18">
      <c r="A25" s="9">
        <v>42648</v>
      </c>
      <c r="B25" s="18">
        <v>21</v>
      </c>
      <c r="C25" s="18"/>
      <c r="D25" s="18"/>
      <c r="E25" s="18">
        <v>21</v>
      </c>
      <c r="F25" s="10" t="s">
        <v>36</v>
      </c>
      <c r="G25" s="10" t="s">
        <v>37</v>
      </c>
      <c r="H25" s="13">
        <v>50000</v>
      </c>
      <c r="I25" s="10" t="s">
        <v>15</v>
      </c>
      <c r="J25" s="10"/>
      <c r="K25" s="10"/>
      <c r="L25" s="11">
        <f t="shared" si="5"/>
        <v>1175700</v>
      </c>
      <c r="M25" s="11"/>
      <c r="N25" s="12">
        <f t="shared" si="0"/>
        <v>3.4352337529509049</v>
      </c>
      <c r="O25" s="10">
        <v>2.5</v>
      </c>
      <c r="P25" s="12" t="s">
        <v>17</v>
      </c>
      <c r="Q25" s="12"/>
      <c r="R25" s="12" t="s">
        <v>17</v>
      </c>
    </row>
    <row r="26" spans="1:18">
      <c r="A26" s="9">
        <v>42025</v>
      </c>
      <c r="B26" s="18">
        <v>22</v>
      </c>
      <c r="C26" s="18"/>
      <c r="D26" s="18"/>
      <c r="E26" s="18">
        <v>22</v>
      </c>
      <c r="F26" s="45" t="s">
        <v>30</v>
      </c>
      <c r="G26" s="45"/>
      <c r="H26" s="13">
        <v>50000</v>
      </c>
      <c r="I26" s="45" t="s">
        <v>15</v>
      </c>
      <c r="J26" s="45"/>
      <c r="K26" s="45"/>
      <c r="L26" s="46">
        <f t="shared" si="5"/>
        <v>1225700</v>
      </c>
      <c r="M26" s="47"/>
      <c r="N26" s="48">
        <f t="shared" si="0"/>
        <v>3.4352337529509049</v>
      </c>
      <c r="O26" s="45">
        <v>5</v>
      </c>
      <c r="P26" s="48">
        <f>H26*O26</f>
        <v>250000</v>
      </c>
      <c r="Q26" s="48">
        <f t="shared" ref="Q26:Q30" si="6">P26</f>
        <v>250000</v>
      </c>
      <c r="R26" s="48">
        <v>250000</v>
      </c>
    </row>
    <row r="27" spans="1:18">
      <c r="A27" s="9">
        <v>42303</v>
      </c>
      <c r="B27" s="18">
        <v>23</v>
      </c>
      <c r="C27" s="18"/>
      <c r="D27" s="18" t="s">
        <v>38</v>
      </c>
      <c r="E27" s="18">
        <v>23</v>
      </c>
      <c r="F27" s="49" t="s">
        <v>39</v>
      </c>
      <c r="G27" s="49"/>
      <c r="H27" s="13">
        <v>13000</v>
      </c>
      <c r="I27" s="49" t="s">
        <v>15</v>
      </c>
      <c r="J27" s="50">
        <f t="shared" ref="J27:J30" si="7">H27*10%</f>
        <v>1300</v>
      </c>
      <c r="K27" s="50"/>
      <c r="L27" s="51">
        <f t="shared" si="5"/>
        <v>1238700</v>
      </c>
      <c r="M27" s="51"/>
      <c r="N27" s="52">
        <f t="shared" si="0"/>
        <v>0.89316077576723552</v>
      </c>
      <c r="O27" s="49">
        <v>7.34</v>
      </c>
      <c r="P27" s="52">
        <v>95420</v>
      </c>
      <c r="Q27" s="48">
        <f t="shared" si="6"/>
        <v>95420</v>
      </c>
      <c r="R27" s="52">
        <v>95420</v>
      </c>
    </row>
    <row r="28" spans="1:18">
      <c r="A28" s="9">
        <v>42460</v>
      </c>
      <c r="B28" s="18">
        <v>24</v>
      </c>
      <c r="C28" s="18"/>
      <c r="D28" s="18" t="s">
        <v>40</v>
      </c>
      <c r="E28" s="18">
        <v>24</v>
      </c>
      <c r="F28" s="49" t="s">
        <v>41</v>
      </c>
      <c r="G28" s="49"/>
      <c r="H28" s="13">
        <v>2000</v>
      </c>
      <c r="I28" s="49" t="s">
        <v>15</v>
      </c>
      <c r="J28" s="50">
        <f t="shared" si="7"/>
        <v>200</v>
      </c>
      <c r="K28" s="50"/>
      <c r="L28" s="51">
        <f t="shared" si="5"/>
        <v>1240700</v>
      </c>
      <c r="M28" s="51"/>
      <c r="N28" s="52">
        <f t="shared" si="0"/>
        <v>0.13740935011803623</v>
      </c>
      <c r="O28" s="49">
        <v>7.34</v>
      </c>
      <c r="P28" s="52">
        <f>O28*H28</f>
        <v>14680</v>
      </c>
      <c r="Q28" s="48">
        <f t="shared" si="6"/>
        <v>14680</v>
      </c>
      <c r="R28" s="52">
        <f>7340*2</f>
        <v>14680</v>
      </c>
    </row>
    <row r="29" spans="1:18">
      <c r="A29" s="9">
        <v>42303</v>
      </c>
      <c r="B29" s="18">
        <v>25</v>
      </c>
      <c r="C29" s="18"/>
      <c r="D29" s="18" t="s">
        <v>22</v>
      </c>
      <c r="E29" s="18" t="s">
        <v>42</v>
      </c>
      <c r="F29" s="49" t="s">
        <v>25</v>
      </c>
      <c r="G29" s="49"/>
      <c r="H29" s="13">
        <v>896</v>
      </c>
      <c r="I29" s="49" t="s">
        <v>15</v>
      </c>
      <c r="J29" s="50">
        <f t="shared" si="7"/>
        <v>89.600000000000009</v>
      </c>
      <c r="K29" s="50"/>
      <c r="L29" s="51">
        <f t="shared" si="5"/>
        <v>1241596</v>
      </c>
      <c r="M29" s="51"/>
      <c r="N29" s="52">
        <f t="shared" si="0"/>
        <v>6.1559388852880231E-2</v>
      </c>
      <c r="O29" s="49">
        <v>7.34</v>
      </c>
      <c r="P29" s="52">
        <f t="shared" ref="P29:P30" si="8">H29*O29</f>
        <v>6576.6399999999994</v>
      </c>
      <c r="Q29" s="48">
        <f t="shared" si="6"/>
        <v>6576.6399999999994</v>
      </c>
      <c r="R29" s="52">
        <v>6579</v>
      </c>
    </row>
    <row r="30" spans="1:18">
      <c r="A30" s="9">
        <v>42394</v>
      </c>
      <c r="B30" s="18">
        <v>26</v>
      </c>
      <c r="C30" s="18"/>
      <c r="D30" s="18" t="s">
        <v>22</v>
      </c>
      <c r="E30" s="18" t="s">
        <v>42</v>
      </c>
      <c r="F30" s="49" t="s">
        <v>24</v>
      </c>
      <c r="G30" s="49"/>
      <c r="H30" s="13">
        <v>545</v>
      </c>
      <c r="I30" s="49" t="s">
        <v>15</v>
      </c>
      <c r="J30" s="50">
        <f t="shared" si="7"/>
        <v>54.5</v>
      </c>
      <c r="K30" s="50"/>
      <c r="L30" s="51">
        <f t="shared" si="5"/>
        <v>1242141</v>
      </c>
      <c r="M30" s="51"/>
      <c r="N30" s="52">
        <f t="shared" si="0"/>
        <v>3.7444047907164872E-2</v>
      </c>
      <c r="O30" s="49">
        <v>7.34</v>
      </c>
      <c r="P30" s="52">
        <f t="shared" si="8"/>
        <v>4000.2999999999997</v>
      </c>
      <c r="Q30" s="48">
        <f t="shared" si="6"/>
        <v>4000.2999999999997</v>
      </c>
      <c r="R30" s="52">
        <v>4000</v>
      </c>
    </row>
    <row r="31" spans="1:18">
      <c r="A31" s="9"/>
      <c r="B31" s="18">
        <v>27</v>
      </c>
      <c r="C31" s="18"/>
      <c r="D31" s="18"/>
      <c r="E31" s="18">
        <v>27</v>
      </c>
      <c r="F31" s="49" t="s">
        <v>43</v>
      </c>
      <c r="G31" s="49"/>
      <c r="H31" s="51"/>
      <c r="I31" s="49"/>
      <c r="J31" s="50"/>
      <c r="K31" s="50"/>
      <c r="L31" s="51">
        <f t="shared" si="5"/>
        <v>1242141</v>
      </c>
      <c r="M31" s="51"/>
      <c r="N31" s="52">
        <f t="shared" si="0"/>
        <v>0</v>
      </c>
      <c r="O31" s="49"/>
      <c r="P31" s="52"/>
      <c r="Q31" s="52"/>
      <c r="R31" s="52"/>
    </row>
    <row r="32" spans="1:18">
      <c r="A32" s="9">
        <v>42458</v>
      </c>
      <c r="B32" s="18">
        <v>28</v>
      </c>
      <c r="C32" s="18"/>
      <c r="D32" s="18" t="s">
        <v>44</v>
      </c>
      <c r="E32" s="18">
        <v>28</v>
      </c>
      <c r="F32" s="49" t="s">
        <v>45</v>
      </c>
      <c r="G32" s="49"/>
      <c r="H32" s="13">
        <v>3406</v>
      </c>
      <c r="I32" s="49" t="s">
        <v>15</v>
      </c>
      <c r="J32" s="50"/>
      <c r="K32" s="50"/>
      <c r="L32" s="51">
        <f t="shared" si="5"/>
        <v>1245547</v>
      </c>
      <c r="M32" s="51"/>
      <c r="N32" s="52">
        <f t="shared" si="0"/>
        <v>0.23400812325101569</v>
      </c>
      <c r="O32" s="49">
        <v>7.34</v>
      </c>
      <c r="P32" s="52">
        <f t="shared" ref="P32:P49" si="9">H32*O32</f>
        <v>25000.04</v>
      </c>
      <c r="Q32" s="48">
        <f t="shared" ref="Q32:Q34" si="10">P32</f>
        <v>25000.04</v>
      </c>
      <c r="R32" s="52">
        <v>0</v>
      </c>
    </row>
    <row r="33" spans="1:18">
      <c r="A33" s="53">
        <v>42594</v>
      </c>
      <c r="B33" s="54">
        <v>29</v>
      </c>
      <c r="C33" s="54"/>
      <c r="D33" s="54"/>
      <c r="E33" s="54">
        <v>29</v>
      </c>
      <c r="F33" s="49" t="s">
        <v>46</v>
      </c>
      <c r="G33" s="55"/>
      <c r="H33" s="56">
        <v>1500</v>
      </c>
      <c r="I33" s="49" t="s">
        <v>15</v>
      </c>
      <c r="J33" s="50"/>
      <c r="K33" s="50"/>
      <c r="L33" s="51">
        <f t="shared" si="5"/>
        <v>1247047</v>
      </c>
      <c r="M33" s="51"/>
      <c r="N33" s="52">
        <f t="shared" si="0"/>
        <v>0.10305701258852716</v>
      </c>
      <c r="O33" s="49">
        <v>7.34</v>
      </c>
      <c r="P33" s="57">
        <f t="shared" si="9"/>
        <v>11010</v>
      </c>
      <c r="Q33" s="48">
        <f t="shared" si="10"/>
        <v>11010</v>
      </c>
      <c r="R33" s="146">
        <v>11010</v>
      </c>
    </row>
    <row r="34" spans="1:18">
      <c r="A34" s="58">
        <v>42577</v>
      </c>
      <c r="B34" s="59">
        <v>30</v>
      </c>
      <c r="C34" s="59"/>
      <c r="D34" s="59"/>
      <c r="E34" s="59">
        <v>30</v>
      </c>
      <c r="F34" s="49" t="s">
        <v>47</v>
      </c>
      <c r="G34" s="49"/>
      <c r="H34" s="60">
        <v>1363</v>
      </c>
      <c r="I34" s="49" t="s">
        <v>15</v>
      </c>
      <c r="J34" s="50"/>
      <c r="K34" s="50"/>
      <c r="L34" s="51">
        <f t="shared" si="5"/>
        <v>1248410</v>
      </c>
      <c r="M34" s="51"/>
      <c r="N34" s="52">
        <f t="shared" si="0"/>
        <v>9.364447210544169E-2</v>
      </c>
      <c r="O34" s="49">
        <v>7.34</v>
      </c>
      <c r="P34" s="57">
        <f t="shared" si="9"/>
        <v>10004.42</v>
      </c>
      <c r="Q34" s="48">
        <f t="shared" si="10"/>
        <v>10004.42</v>
      </c>
      <c r="R34" s="146">
        <v>10004.42</v>
      </c>
    </row>
    <row r="35" spans="1:18">
      <c r="A35" s="58">
        <v>42597</v>
      </c>
      <c r="B35" s="59">
        <v>31</v>
      </c>
      <c r="C35" s="59"/>
      <c r="D35" s="59"/>
      <c r="E35" s="59">
        <v>31</v>
      </c>
      <c r="F35" s="49" t="s">
        <v>48</v>
      </c>
      <c r="G35" s="49"/>
      <c r="H35" s="60">
        <v>5000</v>
      </c>
      <c r="I35" s="49" t="s">
        <v>15</v>
      </c>
      <c r="J35" s="50"/>
      <c r="K35" s="50"/>
      <c r="L35" s="51">
        <f t="shared" si="5"/>
        <v>1253410</v>
      </c>
      <c r="M35" s="51"/>
      <c r="N35" s="52">
        <f t="shared" si="0"/>
        <v>0.34352337529509053</v>
      </c>
      <c r="O35" s="49">
        <v>7.34</v>
      </c>
      <c r="P35" s="57">
        <f t="shared" si="9"/>
        <v>36700</v>
      </c>
      <c r="Q35" s="57"/>
      <c r="R35" s="146">
        <v>36700</v>
      </c>
    </row>
    <row r="36" spans="1:18">
      <c r="A36" s="58">
        <v>42599</v>
      </c>
      <c r="B36" s="59">
        <v>32</v>
      </c>
      <c r="C36" s="59"/>
      <c r="D36" s="61" t="s">
        <v>22</v>
      </c>
      <c r="E36" s="59">
        <v>32</v>
      </c>
      <c r="F36" s="49" t="s">
        <v>49</v>
      </c>
      <c r="G36" s="49"/>
      <c r="H36" s="60">
        <v>13624</v>
      </c>
      <c r="I36" s="49" t="s">
        <v>15</v>
      </c>
      <c r="J36" s="50"/>
      <c r="K36" s="50"/>
      <c r="L36" s="51">
        <f t="shared" si="5"/>
        <v>1267034</v>
      </c>
      <c r="M36" s="51"/>
      <c r="N36" s="52">
        <f t="shared" si="0"/>
        <v>0.93603249300406277</v>
      </c>
      <c r="O36" s="49">
        <v>7.34</v>
      </c>
      <c r="P36" s="57">
        <f t="shared" si="9"/>
        <v>100000.16</v>
      </c>
      <c r="Q36" s="57"/>
      <c r="R36" s="146">
        <v>100000.16</v>
      </c>
    </row>
    <row r="37" spans="1:18">
      <c r="A37" s="58">
        <v>42618</v>
      </c>
      <c r="B37" s="62">
        <v>33</v>
      </c>
      <c r="C37" s="62"/>
      <c r="D37" s="63" t="s">
        <v>22</v>
      </c>
      <c r="E37" s="62">
        <v>33</v>
      </c>
      <c r="F37" s="55" t="s">
        <v>50</v>
      </c>
      <c r="G37" s="49"/>
      <c r="H37" s="60">
        <v>3250</v>
      </c>
      <c r="I37" s="49" t="s">
        <v>15</v>
      </c>
      <c r="J37" s="50"/>
      <c r="K37" s="50"/>
      <c r="L37" s="51">
        <f t="shared" si="5"/>
        <v>1270284</v>
      </c>
      <c r="M37" s="51"/>
      <c r="N37" s="52">
        <f t="shared" si="0"/>
        <v>0.22329019394180888</v>
      </c>
      <c r="O37" s="49">
        <v>7.34</v>
      </c>
      <c r="P37" s="57">
        <f t="shared" si="9"/>
        <v>23855</v>
      </c>
      <c r="Q37" s="57"/>
      <c r="R37" s="146">
        <v>23855</v>
      </c>
    </row>
    <row r="38" spans="1:18">
      <c r="A38" s="53">
        <v>42635</v>
      </c>
      <c r="B38" s="54">
        <v>34</v>
      </c>
      <c r="C38" s="54"/>
      <c r="D38" s="54"/>
      <c r="E38" s="54">
        <v>34</v>
      </c>
      <c r="F38" s="49" t="s">
        <v>51</v>
      </c>
      <c r="G38" s="55"/>
      <c r="H38" s="64">
        <v>1400</v>
      </c>
      <c r="I38" s="49" t="s">
        <v>15</v>
      </c>
      <c r="J38" s="50"/>
      <c r="K38" s="50"/>
      <c r="L38" s="51">
        <f t="shared" si="5"/>
        <v>1271684</v>
      </c>
      <c r="M38" s="51"/>
      <c r="N38" s="52">
        <f t="shared" si="0"/>
        <v>9.6186545082625349E-2</v>
      </c>
      <c r="O38" s="49">
        <v>7.34</v>
      </c>
      <c r="P38" s="57">
        <f t="shared" si="9"/>
        <v>10276</v>
      </c>
      <c r="Q38" s="57"/>
      <c r="R38" s="146">
        <v>10276</v>
      </c>
    </row>
    <row r="39" spans="1:18">
      <c r="A39" s="65">
        <v>42639</v>
      </c>
      <c r="B39" s="55">
        <v>35</v>
      </c>
      <c r="C39" s="55"/>
      <c r="D39" s="55"/>
      <c r="E39" s="55">
        <v>35</v>
      </c>
      <c r="F39" s="49" t="s">
        <v>52</v>
      </c>
      <c r="G39" s="49"/>
      <c r="H39" s="60">
        <v>400</v>
      </c>
      <c r="I39" s="49" t="s">
        <v>15</v>
      </c>
      <c r="J39" s="50"/>
      <c r="K39" s="50"/>
      <c r="L39" s="51">
        <f t="shared" si="5"/>
        <v>1272084</v>
      </c>
      <c r="M39" s="51"/>
      <c r="N39" s="52">
        <f t="shared" si="0"/>
        <v>2.7481870023607243E-2</v>
      </c>
      <c r="O39" s="49">
        <v>7.34</v>
      </c>
      <c r="P39" s="57">
        <f t="shared" si="9"/>
        <v>2936</v>
      </c>
      <c r="Q39" s="57"/>
      <c r="R39" s="55">
        <v>2936</v>
      </c>
    </row>
    <row r="40" spans="1:18">
      <c r="A40" s="66">
        <v>42650</v>
      </c>
      <c r="B40" s="55">
        <v>36</v>
      </c>
      <c r="C40" s="55"/>
      <c r="D40" s="55" t="s">
        <v>22</v>
      </c>
      <c r="E40" s="55">
        <v>36</v>
      </c>
      <c r="F40" s="49" t="s">
        <v>53</v>
      </c>
      <c r="G40" s="49"/>
      <c r="H40" s="60">
        <v>2725</v>
      </c>
      <c r="I40" s="49" t="s">
        <v>15</v>
      </c>
      <c r="J40" s="50"/>
      <c r="K40" s="50"/>
      <c r="L40" s="51">
        <f t="shared" si="5"/>
        <v>1274809</v>
      </c>
      <c r="M40" s="51"/>
      <c r="N40" s="52">
        <f t="shared" si="0"/>
        <v>0.18722023953582434</v>
      </c>
      <c r="O40" s="49">
        <v>7.34</v>
      </c>
      <c r="P40" s="57">
        <f t="shared" si="9"/>
        <v>20001.5</v>
      </c>
      <c r="Q40" s="57"/>
      <c r="R40" s="147">
        <f>SUM(P40)</f>
        <v>20001.5</v>
      </c>
    </row>
    <row r="41" spans="1:18">
      <c r="A41" s="66">
        <v>42654</v>
      </c>
      <c r="B41" s="55">
        <v>37</v>
      </c>
      <c r="C41" s="55"/>
      <c r="D41" s="55" t="s">
        <v>42</v>
      </c>
      <c r="E41" s="55">
        <v>37</v>
      </c>
      <c r="F41" s="67" t="s">
        <v>54</v>
      </c>
      <c r="G41" s="67"/>
      <c r="H41" s="60">
        <v>3406</v>
      </c>
      <c r="I41" s="49" t="s">
        <v>15</v>
      </c>
      <c r="J41" s="50"/>
      <c r="K41" s="50"/>
      <c r="L41" s="51">
        <f t="shared" si="5"/>
        <v>1278215</v>
      </c>
      <c r="M41" s="51"/>
      <c r="N41" s="52">
        <f t="shared" si="0"/>
        <v>0.23400812325101569</v>
      </c>
      <c r="O41" s="49">
        <v>7.34</v>
      </c>
      <c r="P41" s="57">
        <f t="shared" si="9"/>
        <v>25000.04</v>
      </c>
      <c r="Q41" s="57"/>
      <c r="R41" s="147">
        <v>25000</v>
      </c>
    </row>
    <row r="42" spans="1:18">
      <c r="A42" s="68">
        <v>42684</v>
      </c>
      <c r="B42" s="49">
        <v>38</v>
      </c>
      <c r="C42" s="49"/>
      <c r="D42" s="49"/>
      <c r="E42" s="49">
        <v>38</v>
      </c>
      <c r="F42" s="49" t="s">
        <v>55</v>
      </c>
      <c r="G42" s="67"/>
      <c r="H42" s="69">
        <v>2043</v>
      </c>
      <c r="I42" s="70" t="s">
        <v>15</v>
      </c>
      <c r="J42" s="50">
        <f>H42*10%</f>
        <v>204.3</v>
      </c>
      <c r="K42" s="50"/>
      <c r="L42" s="51">
        <f t="shared" si="5"/>
        <v>1280258</v>
      </c>
      <c r="M42" s="51"/>
      <c r="N42" s="52">
        <f t="shared" si="0"/>
        <v>0.140363651145574</v>
      </c>
      <c r="O42" s="49">
        <v>7.34</v>
      </c>
      <c r="P42" s="52">
        <f t="shared" si="9"/>
        <v>14995.619999999999</v>
      </c>
      <c r="Q42" s="52"/>
      <c r="R42" s="52">
        <v>15000</v>
      </c>
    </row>
    <row r="43" spans="1:18">
      <c r="A43" s="68">
        <v>42689</v>
      </c>
      <c r="B43" s="55">
        <v>39</v>
      </c>
      <c r="C43" s="55"/>
      <c r="D43" s="55"/>
      <c r="E43" s="55" t="s">
        <v>56</v>
      </c>
      <c r="F43" s="49" t="s">
        <v>57</v>
      </c>
      <c r="G43" s="67"/>
      <c r="H43" s="69">
        <v>200</v>
      </c>
      <c r="I43" s="70" t="s">
        <v>15</v>
      </c>
      <c r="J43" s="71"/>
      <c r="K43" s="71"/>
      <c r="L43" s="51">
        <f t="shared" si="5"/>
        <v>1280458</v>
      </c>
      <c r="M43" s="51"/>
      <c r="N43" s="52">
        <f t="shared" si="0"/>
        <v>1.3740935011803622E-2</v>
      </c>
      <c r="O43" s="49">
        <v>7.34</v>
      </c>
      <c r="P43" s="52">
        <f t="shared" si="9"/>
        <v>1468</v>
      </c>
      <c r="Q43" s="52"/>
      <c r="R43" s="52">
        <v>1468</v>
      </c>
    </row>
    <row r="44" spans="1:18">
      <c r="A44" s="68">
        <v>42716</v>
      </c>
      <c r="B44" s="55">
        <v>40</v>
      </c>
      <c r="C44" s="55"/>
      <c r="D44" s="55" t="s">
        <v>38</v>
      </c>
      <c r="E44" s="72" t="s">
        <v>58</v>
      </c>
      <c r="F44" s="49" t="s">
        <v>59</v>
      </c>
      <c r="G44" s="67"/>
      <c r="H44" s="73">
        <f>4174</f>
        <v>4174</v>
      </c>
      <c r="I44" s="70" t="s">
        <v>15</v>
      </c>
      <c r="J44" s="71"/>
      <c r="K44" s="71"/>
      <c r="L44" s="51">
        <f t="shared" si="5"/>
        <v>1284632</v>
      </c>
      <c r="M44" s="51"/>
      <c r="N44" s="52">
        <f t="shared" si="0"/>
        <v>0.28677331369634157</v>
      </c>
      <c r="O44" s="49">
        <v>7.34</v>
      </c>
      <c r="P44" s="52">
        <f t="shared" si="9"/>
        <v>30637.16</v>
      </c>
      <c r="Q44" s="52"/>
      <c r="R44" s="52">
        <f t="shared" ref="R44:R45" si="11">P44</f>
        <v>30637.16</v>
      </c>
    </row>
    <row r="45" spans="1:18">
      <c r="A45" s="68">
        <v>42716</v>
      </c>
      <c r="B45" s="49">
        <v>41</v>
      </c>
      <c r="C45" s="49"/>
      <c r="D45" s="49" t="s">
        <v>38</v>
      </c>
      <c r="E45" s="74" t="s">
        <v>60</v>
      </c>
      <c r="F45" s="49" t="s">
        <v>61</v>
      </c>
      <c r="G45" s="67"/>
      <c r="H45" s="73">
        <v>2683</v>
      </c>
      <c r="I45" s="70" t="s">
        <v>15</v>
      </c>
      <c r="J45" s="71"/>
      <c r="K45" s="71"/>
      <c r="L45" s="51">
        <f t="shared" si="5"/>
        <v>1287315</v>
      </c>
      <c r="M45" s="51"/>
      <c r="N45" s="52">
        <f t="shared" si="0"/>
        <v>0.18433464318334558</v>
      </c>
      <c r="O45" s="49">
        <v>7.34</v>
      </c>
      <c r="P45" s="52">
        <f t="shared" si="9"/>
        <v>19693.22</v>
      </c>
      <c r="Q45" s="52"/>
      <c r="R45" s="52">
        <f t="shared" si="11"/>
        <v>19693.22</v>
      </c>
    </row>
    <row r="46" spans="1:18">
      <c r="A46" s="68">
        <v>42736</v>
      </c>
      <c r="B46" s="55">
        <v>42</v>
      </c>
      <c r="C46" s="55"/>
      <c r="D46" s="55" t="s">
        <v>22</v>
      </c>
      <c r="E46" s="55">
        <v>42</v>
      </c>
      <c r="F46" s="49" t="s">
        <v>62</v>
      </c>
      <c r="G46" s="67"/>
      <c r="H46" s="69">
        <v>13624</v>
      </c>
      <c r="I46" s="70" t="s">
        <v>15</v>
      </c>
      <c r="J46" s="71"/>
      <c r="K46" s="71"/>
      <c r="L46" s="51">
        <f t="shared" si="5"/>
        <v>1300939</v>
      </c>
      <c r="M46" s="51"/>
      <c r="N46" s="52">
        <f t="shared" si="0"/>
        <v>0.93603249300406277</v>
      </c>
      <c r="O46" s="49">
        <v>7.34</v>
      </c>
      <c r="P46" s="52">
        <f t="shared" si="9"/>
        <v>100000.16</v>
      </c>
      <c r="Q46" s="52"/>
      <c r="R46" s="52">
        <v>100000.16</v>
      </c>
    </row>
    <row r="47" spans="1:18">
      <c r="A47" s="75">
        <v>42712</v>
      </c>
      <c r="B47" s="55">
        <v>43</v>
      </c>
      <c r="C47" s="55"/>
      <c r="D47" s="55" t="s">
        <v>38</v>
      </c>
      <c r="E47" s="72" t="s">
        <v>63</v>
      </c>
      <c r="F47" s="49" t="s">
        <v>59</v>
      </c>
      <c r="G47" s="67"/>
      <c r="H47" s="73">
        <v>2148</v>
      </c>
      <c r="I47" s="70" t="s">
        <v>15</v>
      </c>
      <c r="J47" s="71"/>
      <c r="K47" s="71"/>
      <c r="L47" s="51">
        <f t="shared" si="5"/>
        <v>1303087</v>
      </c>
      <c r="M47" s="51"/>
      <c r="N47" s="52">
        <f t="shared" si="0"/>
        <v>0.1475776420267709</v>
      </c>
      <c r="O47" s="49">
        <v>7.34</v>
      </c>
      <c r="P47" s="52">
        <f t="shared" si="9"/>
        <v>15766.32</v>
      </c>
      <c r="Q47" s="52"/>
      <c r="R47" s="52">
        <v>15759.87</v>
      </c>
    </row>
    <row r="48" spans="1:18">
      <c r="A48" s="68">
        <v>42893</v>
      </c>
      <c r="B48" s="49">
        <v>44</v>
      </c>
      <c r="C48" s="49"/>
      <c r="D48" s="49" t="s">
        <v>22</v>
      </c>
      <c r="E48" s="49">
        <v>44</v>
      </c>
      <c r="F48" s="49" t="s">
        <v>64</v>
      </c>
      <c r="G48" s="67"/>
      <c r="H48" s="69">
        <v>13623</v>
      </c>
      <c r="I48" s="70" t="s">
        <v>15</v>
      </c>
      <c r="J48" s="71"/>
      <c r="K48" s="71"/>
      <c r="L48" s="51">
        <f t="shared" si="5"/>
        <v>1316710</v>
      </c>
      <c r="M48" s="51"/>
      <c r="N48" s="52">
        <f t="shared" si="0"/>
        <v>0.93596378832900373</v>
      </c>
      <c r="O48" s="49">
        <v>7.34</v>
      </c>
      <c r="P48" s="52">
        <f t="shared" si="9"/>
        <v>99992.819999999992</v>
      </c>
      <c r="Q48" s="52"/>
      <c r="R48" s="52">
        <f>P48</f>
        <v>99992.819999999992</v>
      </c>
    </row>
    <row r="49" spans="1:18">
      <c r="A49" s="68">
        <v>42888</v>
      </c>
      <c r="B49" s="55">
        <v>45</v>
      </c>
      <c r="C49" s="55"/>
      <c r="D49" s="55" t="s">
        <v>65</v>
      </c>
      <c r="E49" s="72" t="s">
        <v>66</v>
      </c>
      <c r="F49" s="49" t="s">
        <v>67</v>
      </c>
      <c r="G49" s="67"/>
      <c r="H49" s="69">
        <v>8000</v>
      </c>
      <c r="I49" s="70" t="s">
        <v>15</v>
      </c>
      <c r="J49" s="71"/>
      <c r="K49" s="71"/>
      <c r="L49" s="51">
        <f t="shared" si="5"/>
        <v>1324710</v>
      </c>
      <c r="M49" s="51"/>
      <c r="N49" s="52">
        <f t="shared" si="0"/>
        <v>0.54963740047214493</v>
      </c>
      <c r="O49" s="49">
        <v>7.34</v>
      </c>
      <c r="P49" s="52">
        <f t="shared" si="9"/>
        <v>58720</v>
      </c>
      <c r="Q49" s="52"/>
      <c r="R49" s="52">
        <v>58720</v>
      </c>
    </row>
    <row r="50" spans="1:18">
      <c r="A50" s="76" t="s">
        <v>68</v>
      </c>
      <c r="B50" s="55">
        <v>46</v>
      </c>
      <c r="C50" s="55"/>
      <c r="D50" s="55" t="s">
        <v>22</v>
      </c>
      <c r="E50" s="55">
        <v>46</v>
      </c>
      <c r="F50" s="49" t="s">
        <v>69</v>
      </c>
      <c r="G50" s="67"/>
      <c r="H50" s="69">
        <v>13624</v>
      </c>
      <c r="I50" s="70" t="s">
        <v>15</v>
      </c>
      <c r="J50" s="71"/>
      <c r="K50" s="71"/>
      <c r="L50" s="51">
        <f t="shared" si="5"/>
        <v>1338334</v>
      </c>
      <c r="M50" s="51"/>
      <c r="N50" s="52">
        <f t="shared" si="0"/>
        <v>0.93603249300406277</v>
      </c>
      <c r="O50" s="49">
        <v>7.34</v>
      </c>
      <c r="P50" s="52">
        <v>100000.16</v>
      </c>
      <c r="Q50" s="52"/>
      <c r="R50" s="52">
        <v>100000.16</v>
      </c>
    </row>
    <row r="51" spans="1:18">
      <c r="A51" s="77"/>
      <c r="B51" s="49"/>
      <c r="C51" s="49"/>
      <c r="D51" s="49" t="s">
        <v>70</v>
      </c>
      <c r="E51" s="49"/>
      <c r="F51" s="49" t="s">
        <v>71</v>
      </c>
      <c r="G51" s="67"/>
      <c r="H51" s="78"/>
      <c r="I51" s="70"/>
      <c r="J51" s="71"/>
      <c r="K51" s="71"/>
      <c r="L51" s="51"/>
      <c r="M51" s="51"/>
      <c r="N51" s="52"/>
      <c r="O51" s="49"/>
      <c r="P51" s="52"/>
      <c r="Q51" s="52"/>
      <c r="R51" s="52"/>
    </row>
    <row r="52" spans="1:18">
      <c r="A52" s="77"/>
      <c r="B52" s="49"/>
      <c r="C52" s="49"/>
      <c r="D52" s="49" t="s">
        <v>22</v>
      </c>
      <c r="E52" s="49">
        <v>47</v>
      </c>
      <c r="F52" s="49" t="s">
        <v>72</v>
      </c>
      <c r="G52" s="67"/>
      <c r="H52" s="79">
        <v>2725</v>
      </c>
      <c r="I52" s="70"/>
      <c r="J52" s="50">
        <f>H52*10%</f>
        <v>272.5</v>
      </c>
      <c r="K52" s="50"/>
      <c r="L52" s="51">
        <f>SUM(L50+H52)</f>
        <v>1341059</v>
      </c>
      <c r="M52" s="51"/>
      <c r="N52" s="52">
        <f t="shared" ref="N52:N76" si="12">SUM(H52/$L$84)*100</f>
        <v>0.18722023953582434</v>
      </c>
      <c r="O52" s="49">
        <v>7.34</v>
      </c>
      <c r="P52" s="52">
        <f t="shared" ref="P52:P53" si="13">H52*O52</f>
        <v>20001.5</v>
      </c>
      <c r="Q52" s="52"/>
      <c r="R52" s="52">
        <v>20000</v>
      </c>
    </row>
    <row r="53" spans="1:18">
      <c r="A53" s="77"/>
      <c r="B53" s="49"/>
      <c r="C53" s="49"/>
      <c r="D53" s="74" t="s">
        <v>70</v>
      </c>
      <c r="E53" s="80" t="s">
        <v>73</v>
      </c>
      <c r="F53" s="49" t="s">
        <v>74</v>
      </c>
      <c r="G53" s="67"/>
      <c r="H53" s="79">
        <f>(1022+1703)</f>
        <v>2725</v>
      </c>
      <c r="I53" s="70"/>
      <c r="J53" s="71"/>
      <c r="K53" s="71"/>
      <c r="L53" s="51">
        <f t="shared" ref="L53:L68" si="14">SUM(L52+H53)</f>
        <v>1343784</v>
      </c>
      <c r="M53" s="51"/>
      <c r="N53" s="52">
        <f t="shared" si="12"/>
        <v>0.18722023953582434</v>
      </c>
      <c r="O53" s="49">
        <v>7.34</v>
      </c>
      <c r="P53" s="52">
        <f t="shared" si="13"/>
        <v>20001.5</v>
      </c>
      <c r="Q53" s="52"/>
      <c r="R53" s="52">
        <v>7501.48</v>
      </c>
    </row>
    <row r="54" spans="1:18">
      <c r="A54" s="77"/>
      <c r="B54" s="49"/>
      <c r="C54" s="49"/>
      <c r="D54" s="74"/>
      <c r="E54" s="49">
        <v>49</v>
      </c>
      <c r="F54" s="49" t="s">
        <v>67</v>
      </c>
      <c r="G54" s="81"/>
      <c r="H54" s="82">
        <f t="shared" ref="H54:H64" si="15">P54/O54</f>
        <v>2000</v>
      </c>
      <c r="I54" s="70"/>
      <c r="J54" s="71"/>
      <c r="K54" s="71"/>
      <c r="L54" s="51">
        <f t="shared" si="14"/>
        <v>1345784</v>
      </c>
      <c r="M54" s="51"/>
      <c r="N54" s="52">
        <f t="shared" si="12"/>
        <v>0.13740935011803623</v>
      </c>
      <c r="O54" s="49">
        <v>7.34</v>
      </c>
      <c r="P54" s="52">
        <f t="shared" ref="P54:P55" si="16">R54</f>
        <v>14680</v>
      </c>
      <c r="Q54" s="52"/>
      <c r="R54" s="52">
        <v>14680</v>
      </c>
    </row>
    <row r="55" spans="1:18">
      <c r="A55" s="77"/>
      <c r="B55" s="49"/>
      <c r="C55" s="49"/>
      <c r="D55" s="49" t="s">
        <v>22</v>
      </c>
      <c r="E55" s="49">
        <v>51</v>
      </c>
      <c r="F55" s="49" t="s">
        <v>75</v>
      </c>
      <c r="G55" s="67"/>
      <c r="H55" s="83">
        <f t="shared" si="15"/>
        <v>6800</v>
      </c>
      <c r="I55" s="70"/>
      <c r="J55" s="71"/>
      <c r="K55" s="71"/>
      <c r="L55" s="51">
        <f t="shared" si="14"/>
        <v>1352584</v>
      </c>
      <c r="M55" s="51"/>
      <c r="N55" s="52">
        <f t="shared" si="12"/>
        <v>0.46719179040132319</v>
      </c>
      <c r="O55" s="84">
        <v>7.34</v>
      </c>
      <c r="P55" s="85">
        <f t="shared" si="16"/>
        <v>49912</v>
      </c>
      <c r="Q55" s="85"/>
      <c r="R55" s="52">
        <v>49912</v>
      </c>
    </row>
    <row r="56" spans="1:18">
      <c r="A56" s="77"/>
      <c r="B56" s="49"/>
      <c r="C56" s="49"/>
      <c r="D56" s="49" t="s">
        <v>70</v>
      </c>
      <c r="E56" s="49">
        <v>52</v>
      </c>
      <c r="F56" s="49" t="s">
        <v>76</v>
      </c>
      <c r="G56" s="67"/>
      <c r="H56" s="83">
        <f t="shared" si="15"/>
        <v>2725</v>
      </c>
      <c r="I56" s="70"/>
      <c r="J56" s="71"/>
      <c r="K56" s="71"/>
      <c r="L56" s="51">
        <f t="shared" si="14"/>
        <v>1355309</v>
      </c>
      <c r="M56" s="51"/>
      <c r="N56" s="52">
        <f t="shared" si="12"/>
        <v>0.18722023953582434</v>
      </c>
      <c r="O56" s="84">
        <v>7.34</v>
      </c>
      <c r="P56" s="85">
        <v>20001.5</v>
      </c>
      <c r="Q56" s="85"/>
      <c r="R56" s="52">
        <v>20001.5</v>
      </c>
    </row>
    <row r="57" spans="1:18">
      <c r="A57" s="77"/>
      <c r="B57" s="49"/>
      <c r="C57" s="49"/>
      <c r="D57" s="49"/>
      <c r="E57" s="49">
        <v>57</v>
      </c>
      <c r="F57" s="49" t="s">
        <v>77</v>
      </c>
      <c r="G57" s="67"/>
      <c r="H57" s="86">
        <f t="shared" si="15"/>
        <v>400</v>
      </c>
      <c r="I57" s="70"/>
      <c r="J57" s="71"/>
      <c r="K57" s="71"/>
      <c r="L57" s="51">
        <f t="shared" si="14"/>
        <v>1355709</v>
      </c>
      <c r="M57" s="51"/>
      <c r="N57" s="87">
        <f t="shared" si="12"/>
        <v>2.7481870023607243E-2</v>
      </c>
      <c r="O57" s="84">
        <v>7.34</v>
      </c>
      <c r="P57" s="52">
        <f>R57</f>
        <v>2936</v>
      </c>
      <c r="Q57" s="52"/>
      <c r="R57" s="52">
        <v>2936</v>
      </c>
    </row>
    <row r="58" spans="1:18">
      <c r="A58" s="77"/>
      <c r="B58" s="49"/>
      <c r="C58" s="49"/>
      <c r="D58" s="49" t="s">
        <v>70</v>
      </c>
      <c r="E58" s="49">
        <v>54</v>
      </c>
      <c r="F58" s="49" t="s">
        <v>46</v>
      </c>
      <c r="G58" s="49"/>
      <c r="H58" s="83">
        <f t="shared" si="15"/>
        <v>13488</v>
      </c>
      <c r="I58" s="49"/>
      <c r="J58" s="50"/>
      <c r="K58" s="50"/>
      <c r="L58" s="51">
        <f t="shared" si="14"/>
        <v>1369197</v>
      </c>
      <c r="M58" s="49"/>
      <c r="N58" s="52">
        <f t="shared" si="12"/>
        <v>0.92668865719603633</v>
      </c>
      <c r="O58" s="85">
        <v>7.34</v>
      </c>
      <c r="P58" s="88">
        <v>99001.919999999998</v>
      </c>
      <c r="Q58" s="88"/>
      <c r="R58" s="52">
        <f t="shared" ref="R58:R63" si="17">P58</f>
        <v>99001.919999999998</v>
      </c>
    </row>
    <row r="59" spans="1:18">
      <c r="A59" s="89"/>
      <c r="B59" s="90"/>
      <c r="C59" s="90"/>
      <c r="D59" s="90" t="s">
        <v>38</v>
      </c>
      <c r="E59" s="91" t="s">
        <v>78</v>
      </c>
      <c r="F59" s="92" t="s">
        <v>79</v>
      </c>
      <c r="G59" s="90"/>
      <c r="H59" s="93">
        <f t="shared" si="15"/>
        <v>40871.934604904636</v>
      </c>
      <c r="I59" s="90"/>
      <c r="J59" s="50">
        <f>H59*10%</f>
        <v>4087.1934604904636</v>
      </c>
      <c r="K59" s="50"/>
      <c r="L59" s="51">
        <f t="shared" si="14"/>
        <v>1410068.9346049046</v>
      </c>
      <c r="M59" s="90"/>
      <c r="N59" s="52">
        <f t="shared" si="12"/>
        <v>2.8080929860634107</v>
      </c>
      <c r="O59" s="94">
        <v>7.34</v>
      </c>
      <c r="P59" s="95">
        <v>300000</v>
      </c>
      <c r="Q59" s="95"/>
      <c r="R59" s="52">
        <f t="shared" si="17"/>
        <v>300000</v>
      </c>
    </row>
    <row r="60" spans="1:18">
      <c r="A60" s="89"/>
      <c r="B60" s="90"/>
      <c r="C60" s="90"/>
      <c r="D60" s="90" t="s">
        <v>80</v>
      </c>
      <c r="E60" s="90">
        <v>55</v>
      </c>
      <c r="F60" s="92" t="s">
        <v>81</v>
      </c>
      <c r="G60" s="90"/>
      <c r="H60" s="83">
        <f t="shared" si="15"/>
        <v>409</v>
      </c>
      <c r="I60" s="90"/>
      <c r="J60" s="96"/>
      <c r="K60" s="96"/>
      <c r="L60" s="51">
        <f t="shared" si="14"/>
        <v>1410477.9346049046</v>
      </c>
      <c r="M60" s="90"/>
      <c r="N60" s="52">
        <f t="shared" si="12"/>
        <v>2.8100212099138405E-2</v>
      </c>
      <c r="O60" s="94">
        <v>7.34</v>
      </c>
      <c r="P60" s="95">
        <v>3002.06</v>
      </c>
      <c r="Q60" s="95"/>
      <c r="R60" s="52">
        <f t="shared" si="17"/>
        <v>3002.06</v>
      </c>
    </row>
    <row r="61" spans="1:18">
      <c r="A61" s="89"/>
      <c r="B61" s="90"/>
      <c r="C61" s="90"/>
      <c r="D61" s="90" t="s">
        <v>82</v>
      </c>
      <c r="E61" s="90">
        <v>59</v>
      </c>
      <c r="F61" s="74" t="s">
        <v>52</v>
      </c>
      <c r="G61" s="49"/>
      <c r="H61" s="83">
        <f t="shared" si="15"/>
        <v>685</v>
      </c>
      <c r="I61" s="90"/>
      <c r="J61" s="96"/>
      <c r="K61" s="96"/>
      <c r="L61" s="51">
        <f t="shared" si="14"/>
        <v>1411162.9346049046</v>
      </c>
      <c r="M61" s="90"/>
      <c r="N61" s="52">
        <f t="shared" si="12"/>
        <v>4.7062702415427406E-2</v>
      </c>
      <c r="O61" s="94">
        <f t="shared" ref="O61:O64" si="18">O60</f>
        <v>7.34</v>
      </c>
      <c r="P61" s="94">
        <v>5027.8999999999996</v>
      </c>
      <c r="Q61" s="94"/>
      <c r="R61" s="52">
        <f t="shared" si="17"/>
        <v>5027.8999999999996</v>
      </c>
    </row>
    <row r="62" spans="1:18">
      <c r="A62" s="89"/>
      <c r="B62" s="90"/>
      <c r="C62" s="90"/>
      <c r="D62" s="90"/>
      <c r="E62" s="90">
        <v>60</v>
      </c>
      <c r="F62" s="74" t="s">
        <v>67</v>
      </c>
      <c r="G62" s="90"/>
      <c r="H62" s="83">
        <f t="shared" si="15"/>
        <v>2045</v>
      </c>
      <c r="I62" s="90"/>
      <c r="J62" s="96"/>
      <c r="K62" s="96"/>
      <c r="L62" s="51">
        <f t="shared" si="14"/>
        <v>1413207.9346049046</v>
      </c>
      <c r="M62" s="90"/>
      <c r="N62" s="52">
        <f t="shared" si="12"/>
        <v>0.14050106049569203</v>
      </c>
      <c r="O62" s="94">
        <f t="shared" si="18"/>
        <v>7.34</v>
      </c>
      <c r="P62" s="95">
        <v>15010.3</v>
      </c>
      <c r="Q62" s="95"/>
      <c r="R62" s="52">
        <f t="shared" si="17"/>
        <v>15010.3</v>
      </c>
    </row>
    <row r="63" spans="1:18">
      <c r="A63" s="89"/>
      <c r="B63" s="90"/>
      <c r="C63" s="90"/>
      <c r="D63" s="90"/>
      <c r="E63" s="90">
        <v>61</v>
      </c>
      <c r="F63" s="92" t="s">
        <v>83</v>
      </c>
      <c r="G63" s="90"/>
      <c r="H63" s="83">
        <f t="shared" si="15"/>
        <v>15489</v>
      </c>
      <c r="I63" s="90"/>
      <c r="J63" s="97">
        <f t="shared" ref="J63:J64" si="19">H63*5%</f>
        <v>774.45</v>
      </c>
      <c r="K63" s="96"/>
      <c r="L63" s="51">
        <f t="shared" si="14"/>
        <v>1428696.9346049046</v>
      </c>
      <c r="M63" s="90"/>
      <c r="N63" s="52">
        <f t="shared" si="12"/>
        <v>1.0641667119891314</v>
      </c>
      <c r="O63" s="94">
        <f t="shared" si="18"/>
        <v>7.34</v>
      </c>
      <c r="P63" s="95">
        <v>113689.26</v>
      </c>
      <c r="Q63" s="95"/>
      <c r="R63" s="52">
        <f t="shared" si="17"/>
        <v>113689.26</v>
      </c>
    </row>
    <row r="64" spans="1:18">
      <c r="A64" s="89"/>
      <c r="B64" s="90"/>
      <c r="C64" s="90"/>
      <c r="D64" s="90"/>
      <c r="E64" s="90">
        <v>62</v>
      </c>
      <c r="F64" s="92" t="s">
        <v>84</v>
      </c>
      <c r="G64" s="90"/>
      <c r="H64" s="83">
        <f t="shared" si="15"/>
        <v>3000</v>
      </c>
      <c r="I64" s="90"/>
      <c r="J64" s="97">
        <f t="shared" si="19"/>
        <v>150</v>
      </c>
      <c r="K64" s="96"/>
      <c r="L64" s="51">
        <f t="shared" si="14"/>
        <v>1431696.9346049046</v>
      </c>
      <c r="M64" s="90"/>
      <c r="N64" s="52">
        <f t="shared" si="12"/>
        <v>0.20611402517705432</v>
      </c>
      <c r="O64" s="94">
        <f t="shared" si="18"/>
        <v>7.34</v>
      </c>
      <c r="P64" s="95">
        <f>R64</f>
        <v>22020</v>
      </c>
      <c r="Q64" s="95"/>
      <c r="R64" s="52">
        <f>SUM(12020+10000)</f>
        <v>22020</v>
      </c>
    </row>
    <row r="65" spans="1:18">
      <c r="A65" s="89">
        <v>43164</v>
      </c>
      <c r="B65" s="90"/>
      <c r="C65" s="90"/>
      <c r="D65" s="90"/>
      <c r="E65" s="98" t="s">
        <v>85</v>
      </c>
      <c r="F65" s="99" t="s">
        <v>86</v>
      </c>
      <c r="G65" s="100" t="s">
        <v>87</v>
      </c>
      <c r="H65" s="101">
        <v>0</v>
      </c>
      <c r="I65" s="100"/>
      <c r="J65" s="102"/>
      <c r="K65" s="102"/>
      <c r="L65" s="51">
        <f t="shared" si="14"/>
        <v>1431696.9346049046</v>
      </c>
      <c r="M65" s="90"/>
      <c r="N65" s="52">
        <f t="shared" si="12"/>
        <v>0</v>
      </c>
      <c r="O65" s="94">
        <f t="shared" ref="O65:O66" si="20">O63</f>
        <v>7.34</v>
      </c>
      <c r="P65" s="95"/>
      <c r="Q65" s="95"/>
      <c r="R65" s="52">
        <f>P65</f>
        <v>0</v>
      </c>
    </row>
    <row r="66" spans="1:18">
      <c r="A66" s="89">
        <v>43164</v>
      </c>
      <c r="B66" s="90"/>
      <c r="C66" s="90"/>
      <c r="D66" s="90"/>
      <c r="E66" s="98" t="s">
        <v>85</v>
      </c>
      <c r="F66" s="99" t="s">
        <v>88</v>
      </c>
      <c r="G66" s="100" t="s">
        <v>87</v>
      </c>
      <c r="H66" s="101">
        <v>0</v>
      </c>
      <c r="I66" s="100"/>
      <c r="J66" s="102"/>
      <c r="K66" s="102"/>
      <c r="L66" s="51">
        <f t="shared" si="14"/>
        <v>1431696.9346049046</v>
      </c>
      <c r="M66" s="90"/>
      <c r="N66" s="52">
        <f t="shared" si="12"/>
        <v>0</v>
      </c>
      <c r="O66" s="94">
        <f t="shared" si="20"/>
        <v>7.34</v>
      </c>
      <c r="P66" s="95"/>
      <c r="Q66" s="95"/>
      <c r="R66" s="148"/>
    </row>
    <row r="67" spans="1:18">
      <c r="A67" s="89"/>
      <c r="B67" s="90"/>
      <c r="C67" s="90"/>
      <c r="D67" s="90"/>
      <c r="E67" s="103">
        <v>63</v>
      </c>
      <c r="F67" s="104" t="s">
        <v>89</v>
      </c>
      <c r="G67" s="104" t="s">
        <v>90</v>
      </c>
      <c r="H67" s="105"/>
      <c r="I67" s="90"/>
      <c r="J67" s="106">
        <f>J63+J64</f>
        <v>924.45</v>
      </c>
      <c r="K67" s="96"/>
      <c r="L67" s="51">
        <f t="shared" si="14"/>
        <v>1431696.9346049046</v>
      </c>
      <c r="M67" s="90"/>
      <c r="N67" s="52">
        <f t="shared" si="12"/>
        <v>0</v>
      </c>
      <c r="O67" s="94">
        <f>O66</f>
        <v>7.34</v>
      </c>
      <c r="P67" s="95"/>
      <c r="Q67" s="95"/>
      <c r="R67" s="148"/>
    </row>
    <row r="68" spans="1:18">
      <c r="A68" s="89"/>
      <c r="B68" s="90"/>
      <c r="C68" s="90"/>
      <c r="D68" s="90"/>
      <c r="E68" s="103">
        <v>64</v>
      </c>
      <c r="F68" s="90" t="s">
        <v>91</v>
      </c>
      <c r="G68" s="90" t="s">
        <v>37</v>
      </c>
      <c r="H68" s="107">
        <f>J68</f>
        <v>6208.0934604904633</v>
      </c>
      <c r="I68" s="90" t="s">
        <v>92</v>
      </c>
      <c r="J68" s="108">
        <f>SUM(J27:J59)</f>
        <v>6208.0934604904633</v>
      </c>
      <c r="K68" s="109"/>
      <c r="L68" s="51">
        <f t="shared" si="14"/>
        <v>1437905.0280653951</v>
      </c>
      <c r="M68" s="90"/>
      <c r="N68" s="52">
        <f t="shared" si="12"/>
        <v>0.42652504393901258</v>
      </c>
      <c r="O68" s="94">
        <f t="shared" ref="O68:O69" si="21">O65</f>
        <v>7.34</v>
      </c>
      <c r="P68" s="95"/>
      <c r="Q68" s="95"/>
      <c r="R68" s="148"/>
    </row>
    <row r="69" spans="1:18">
      <c r="A69" s="89"/>
      <c r="B69" s="100"/>
      <c r="C69" s="100"/>
      <c r="D69" s="100"/>
      <c r="E69" s="103"/>
      <c r="F69" s="100"/>
      <c r="G69" s="100"/>
      <c r="H69" s="110"/>
      <c r="I69" s="100"/>
      <c r="J69" s="111"/>
      <c r="K69" s="111"/>
      <c r="L69" s="112"/>
      <c r="M69" s="100"/>
      <c r="N69" s="52">
        <f t="shared" si="12"/>
        <v>0</v>
      </c>
      <c r="O69" s="113">
        <f t="shared" si="21"/>
        <v>7.34</v>
      </c>
      <c r="P69" s="114"/>
      <c r="Q69" s="114"/>
      <c r="R69" s="149"/>
    </row>
    <row r="70" spans="1:18">
      <c r="A70" s="89"/>
      <c r="B70" s="100"/>
      <c r="C70" s="100"/>
      <c r="D70" s="100"/>
      <c r="E70" s="115" t="s">
        <v>93</v>
      </c>
      <c r="F70" s="116" t="s">
        <v>94</v>
      </c>
      <c r="G70" s="100"/>
      <c r="H70" s="110"/>
      <c r="I70" s="100"/>
      <c r="J70" s="111"/>
      <c r="K70" s="111"/>
      <c r="L70" s="117">
        <f>SUM(L68+H70)</f>
        <v>1437905.0280653951</v>
      </c>
      <c r="M70" s="100"/>
      <c r="N70" s="87">
        <f t="shared" si="12"/>
        <v>0</v>
      </c>
      <c r="O70" s="118">
        <v>10.42</v>
      </c>
      <c r="P70" s="114"/>
      <c r="Q70" s="114"/>
      <c r="R70" s="149"/>
    </row>
    <row r="71" spans="1:18">
      <c r="A71" s="89"/>
      <c r="B71" s="100"/>
      <c r="C71" s="100"/>
      <c r="D71" s="100"/>
      <c r="E71" s="103">
        <v>65</v>
      </c>
      <c r="F71" s="100" t="s">
        <v>46</v>
      </c>
      <c r="G71" s="100"/>
      <c r="H71" s="83">
        <f t="shared" ref="H71:H79" si="22">P71/O71</f>
        <v>960.00000000000011</v>
      </c>
      <c r="I71" s="100"/>
      <c r="J71" s="111"/>
      <c r="K71" s="111"/>
      <c r="L71" s="117">
        <f t="shared" ref="L71:L78" si="23">SUM(L70+H71)</f>
        <v>1438865.0280653951</v>
      </c>
      <c r="M71" s="100"/>
      <c r="N71" s="52">
        <f t="shared" si="12"/>
        <v>6.5956488056657395E-2</v>
      </c>
      <c r="O71" s="118">
        <v>10.42</v>
      </c>
      <c r="P71" s="114">
        <f t="shared" ref="P71:P76" si="24">R71</f>
        <v>10003.200000000001</v>
      </c>
      <c r="Q71" s="114"/>
      <c r="R71" s="149">
        <v>10003.200000000001</v>
      </c>
    </row>
    <row r="72" spans="1:18">
      <c r="A72" s="89"/>
      <c r="B72" s="100"/>
      <c r="C72" s="100"/>
      <c r="D72" s="100"/>
      <c r="E72" s="103">
        <v>66</v>
      </c>
      <c r="F72" s="100" t="s">
        <v>95</v>
      </c>
      <c r="G72" s="100"/>
      <c r="H72" s="83">
        <f t="shared" si="22"/>
        <v>2400</v>
      </c>
      <c r="I72" s="100"/>
      <c r="J72" s="111"/>
      <c r="K72" s="111"/>
      <c r="L72" s="117">
        <f t="shared" si="23"/>
        <v>1441265.0280653951</v>
      </c>
      <c r="M72" s="100"/>
      <c r="N72" s="52">
        <f t="shared" si="12"/>
        <v>0.16489122014164345</v>
      </c>
      <c r="O72" s="118">
        <v>10.42</v>
      </c>
      <c r="P72" s="114">
        <f t="shared" si="24"/>
        <v>25008</v>
      </c>
      <c r="Q72" s="114"/>
      <c r="R72" s="149">
        <v>25008</v>
      </c>
    </row>
    <row r="73" spans="1:18">
      <c r="A73" s="89"/>
      <c r="B73" s="100"/>
      <c r="C73" s="100" t="s">
        <v>96</v>
      </c>
      <c r="D73" s="100"/>
      <c r="E73" s="103">
        <v>67</v>
      </c>
      <c r="F73" s="100" t="s">
        <v>97</v>
      </c>
      <c r="G73" s="100"/>
      <c r="H73" s="83">
        <f t="shared" si="22"/>
        <v>2400</v>
      </c>
      <c r="I73" s="100"/>
      <c r="J73" s="111"/>
      <c r="K73" s="111"/>
      <c r="L73" s="117">
        <f t="shared" si="23"/>
        <v>1443665.0280653951</v>
      </c>
      <c r="M73" s="100"/>
      <c r="N73" s="52">
        <f t="shared" si="12"/>
        <v>0.16489122014164345</v>
      </c>
      <c r="O73" s="118">
        <v>10.42</v>
      </c>
      <c r="P73" s="114">
        <f t="shared" si="24"/>
        <v>25008</v>
      </c>
      <c r="Q73" s="114"/>
      <c r="R73" s="149">
        <v>25008</v>
      </c>
    </row>
    <row r="74" spans="1:18">
      <c r="A74" s="89"/>
      <c r="B74" s="100"/>
      <c r="C74" s="100"/>
      <c r="D74" s="100"/>
      <c r="E74" s="103">
        <v>68</v>
      </c>
      <c r="F74" s="100" t="s">
        <v>77</v>
      </c>
      <c r="G74" s="100"/>
      <c r="H74" s="83">
        <f t="shared" si="22"/>
        <v>480.00000000000006</v>
      </c>
      <c r="I74" s="100"/>
      <c r="J74" s="111"/>
      <c r="K74" s="111"/>
      <c r="L74" s="117">
        <f t="shared" si="23"/>
        <v>1444145.0280653951</v>
      </c>
      <c r="M74" s="100"/>
      <c r="N74" s="52">
        <f t="shared" si="12"/>
        <v>3.2978244028328697E-2</v>
      </c>
      <c r="O74" s="118">
        <v>10.42</v>
      </c>
      <c r="P74" s="114">
        <f t="shared" si="24"/>
        <v>5001.6000000000004</v>
      </c>
      <c r="Q74" s="114"/>
      <c r="R74" s="149">
        <v>5001.6000000000004</v>
      </c>
    </row>
    <row r="75" spans="1:18" ht="16" thickBot="1">
      <c r="A75" s="89"/>
      <c r="B75" s="100"/>
      <c r="C75" s="100"/>
      <c r="D75" s="100"/>
      <c r="E75" s="103">
        <v>69</v>
      </c>
      <c r="F75" s="100" t="s">
        <v>98</v>
      </c>
      <c r="G75" s="100"/>
      <c r="H75" s="83">
        <f t="shared" si="22"/>
        <v>4800</v>
      </c>
      <c r="I75" s="100"/>
      <c r="J75" s="111"/>
      <c r="K75" s="111"/>
      <c r="L75" s="117">
        <f t="shared" si="23"/>
        <v>1448945.0280653951</v>
      </c>
      <c r="M75" s="100"/>
      <c r="N75" s="52">
        <f t="shared" si="12"/>
        <v>0.3297824402832869</v>
      </c>
      <c r="O75" s="118">
        <v>10.42</v>
      </c>
      <c r="P75" s="114">
        <f t="shared" si="24"/>
        <v>50016</v>
      </c>
      <c r="Q75" s="114"/>
      <c r="R75" s="149">
        <v>50016</v>
      </c>
    </row>
    <row r="76" spans="1:18">
      <c r="A76" s="89"/>
      <c r="B76" s="100"/>
      <c r="C76" s="100"/>
      <c r="D76" s="100"/>
      <c r="E76" s="103">
        <v>70</v>
      </c>
      <c r="F76" s="100" t="s">
        <v>64</v>
      </c>
      <c r="G76" s="100"/>
      <c r="H76" s="83">
        <f t="shared" si="22"/>
        <v>4800</v>
      </c>
      <c r="I76" s="100"/>
      <c r="J76" s="111"/>
      <c r="K76" s="111"/>
      <c r="L76" s="117">
        <f t="shared" si="23"/>
        <v>1453745.0280653951</v>
      </c>
      <c r="M76" s="100"/>
      <c r="N76" s="52">
        <f t="shared" si="12"/>
        <v>0.3297824402832869</v>
      </c>
      <c r="O76" s="118">
        <v>10.42</v>
      </c>
      <c r="P76" s="114">
        <f t="shared" si="24"/>
        <v>50016</v>
      </c>
      <c r="Q76" s="150">
        <v>183392</v>
      </c>
      <c r="R76" s="151">
        <v>50016</v>
      </c>
    </row>
    <row r="77" spans="1:18">
      <c r="A77" s="89"/>
      <c r="B77" s="100"/>
      <c r="C77" s="100"/>
      <c r="D77" s="100"/>
      <c r="E77" s="103"/>
      <c r="F77" s="100" t="s">
        <v>77</v>
      </c>
      <c r="G77" s="100"/>
      <c r="H77" s="83">
        <f t="shared" si="22"/>
        <v>320</v>
      </c>
      <c r="I77" s="100"/>
      <c r="J77" s="111"/>
      <c r="K77" s="111"/>
      <c r="L77" s="117">
        <f t="shared" si="23"/>
        <v>1454065.0280653951</v>
      </c>
      <c r="M77" s="100"/>
      <c r="N77" s="52">
        <f>SUM(H77/$L$84)*100</f>
        <v>2.1985496018885792E-2</v>
      </c>
      <c r="O77" s="118">
        <v>10.42</v>
      </c>
      <c r="P77" s="114">
        <v>3334.4</v>
      </c>
      <c r="Q77" s="152"/>
      <c r="R77" s="151">
        <f>P77</f>
        <v>3334.4</v>
      </c>
    </row>
    <row r="78" spans="1:18">
      <c r="A78" s="89"/>
      <c r="B78" s="100"/>
      <c r="C78" s="100"/>
      <c r="D78" s="100"/>
      <c r="E78" s="103"/>
      <c r="F78" s="100" t="s">
        <v>99</v>
      </c>
      <c r="G78" s="100"/>
      <c r="H78" s="83">
        <f t="shared" si="22"/>
        <v>1440</v>
      </c>
      <c r="I78" s="100"/>
      <c r="J78" s="111"/>
      <c r="K78" s="111"/>
      <c r="L78" s="117">
        <f t="shared" si="23"/>
        <v>1455505.0280653951</v>
      </c>
      <c r="M78" s="100"/>
      <c r="N78" s="52">
        <f>SUM(H78/$L$84)*100</f>
        <v>9.8934732084986085E-2</v>
      </c>
      <c r="O78" s="118">
        <v>10.42</v>
      </c>
      <c r="P78" s="114">
        <v>15004.8</v>
      </c>
      <c r="Q78" s="152"/>
      <c r="R78" s="151">
        <f>P78</f>
        <v>15004.8</v>
      </c>
    </row>
    <row r="79" spans="1:18" ht="16" thickBot="1">
      <c r="A79" s="89"/>
      <c r="B79" s="100"/>
      <c r="C79" s="100"/>
      <c r="D79" s="100"/>
      <c r="E79" s="100"/>
      <c r="F79" s="100" t="s">
        <v>100</v>
      </c>
      <c r="G79" s="100"/>
      <c r="H79" s="110">
        <f t="shared" si="22"/>
        <v>0</v>
      </c>
      <c r="I79" s="100"/>
      <c r="J79" s="111"/>
      <c r="K79" s="111"/>
      <c r="L79" s="117">
        <f>SUM(L76+H79)</f>
        <v>1453745.0280653951</v>
      </c>
      <c r="M79" s="119">
        <f>SUM(N71:N79)</f>
        <v>1.2092022810387189</v>
      </c>
      <c r="N79" s="52">
        <f>SUM(H79/$L$84)*100</f>
        <v>0</v>
      </c>
      <c r="O79" s="118">
        <v>10.42</v>
      </c>
      <c r="P79" s="120">
        <f>Q76-Q79</f>
        <v>0</v>
      </c>
      <c r="Q79" s="153">
        <f>SUM(P71:P78)</f>
        <v>183391.99999999997</v>
      </c>
      <c r="R79" s="151"/>
    </row>
    <row r="80" spans="1:18">
      <c r="A80" s="89"/>
      <c r="B80" s="100"/>
      <c r="C80" s="100"/>
      <c r="D80" s="100"/>
      <c r="E80" s="100"/>
      <c r="F80" s="100"/>
      <c r="G80" s="100"/>
      <c r="H80" s="110"/>
      <c r="I80" s="100"/>
      <c r="J80" s="111"/>
      <c r="K80" s="111"/>
      <c r="L80" s="117"/>
      <c r="M80" s="100"/>
      <c r="N80" s="87"/>
      <c r="O80" s="118"/>
      <c r="P80" s="114"/>
      <c r="Q80" s="114"/>
      <c r="R80" s="149"/>
    </row>
    <row r="81" spans="1:18">
      <c r="A81" s="89"/>
      <c r="B81" s="90"/>
      <c r="C81" s="90"/>
      <c r="D81" s="90"/>
      <c r="E81" s="121" t="s">
        <v>101</v>
      </c>
      <c r="F81" s="122" t="s">
        <v>102</v>
      </c>
      <c r="G81" s="122"/>
      <c r="H81" s="110">
        <v>0</v>
      </c>
      <c r="I81" s="122"/>
      <c r="J81" s="123"/>
      <c r="K81" s="123"/>
      <c r="L81" s="124">
        <v>0</v>
      </c>
      <c r="M81" s="122"/>
      <c r="N81" s="52">
        <f t="shared" ref="N81" si="25">SUM(H81/$L$84)*100</f>
        <v>0</v>
      </c>
      <c r="O81" s="125">
        <f>N102</f>
        <v>0</v>
      </c>
      <c r="P81" s="126">
        <v>0</v>
      </c>
      <c r="Q81" s="131"/>
      <c r="R81" s="154">
        <f>P81</f>
        <v>0</v>
      </c>
    </row>
    <row r="82" spans="1:18">
      <c r="A82" s="89"/>
      <c r="B82" s="90"/>
      <c r="C82" s="90"/>
      <c r="D82" s="90"/>
      <c r="E82" s="90"/>
      <c r="F82" s="122"/>
      <c r="G82" s="122"/>
      <c r="H82" s="127"/>
      <c r="I82" s="122"/>
      <c r="J82" s="123"/>
      <c r="K82" s="123"/>
      <c r="L82" s="128"/>
      <c r="M82" s="122"/>
      <c r="N82" s="129"/>
      <c r="O82" s="130"/>
      <c r="P82" s="131"/>
      <c r="Q82" s="131"/>
      <c r="R82" s="154"/>
    </row>
    <row r="83" spans="1:18" ht="16" thickBot="1">
      <c r="A83" s="89"/>
      <c r="B83" s="90"/>
      <c r="C83" s="90"/>
      <c r="D83" s="90"/>
      <c r="E83" s="90"/>
      <c r="F83" s="122"/>
      <c r="G83" s="132"/>
      <c r="H83" s="133"/>
      <c r="I83" s="134"/>
      <c r="J83" s="134"/>
      <c r="K83" s="134"/>
      <c r="L83" s="135">
        <f>SUM(L81+H83)</f>
        <v>0</v>
      </c>
      <c r="M83" s="131"/>
      <c r="N83" s="129">
        <f>SUM(H83/$L$84)*100</f>
        <v>0</v>
      </c>
      <c r="O83" s="122"/>
      <c r="P83" s="130"/>
      <c r="Q83" s="130"/>
      <c r="R83" s="154">
        <f>P83</f>
        <v>0</v>
      </c>
    </row>
    <row r="84" spans="1:18" ht="16" thickBot="1">
      <c r="A84" s="136"/>
      <c r="B84" s="137"/>
      <c r="C84" s="137"/>
      <c r="D84" s="137"/>
      <c r="E84" s="137"/>
      <c r="F84" s="137"/>
      <c r="G84" s="138"/>
      <c r="H84" s="139">
        <f>SUM(H4:H83)</f>
        <v>1455505.0280653951</v>
      </c>
      <c r="I84" s="140"/>
      <c r="J84" s="140"/>
      <c r="K84" s="140"/>
      <c r="L84" s="141">
        <f>SUM(L78)</f>
        <v>1455505.0280653951</v>
      </c>
      <c r="M84" s="142"/>
      <c r="N84" s="143">
        <f>SUM(N4:N83)</f>
        <v>100</v>
      </c>
      <c r="O84" s="144"/>
      <c r="P84" s="145"/>
      <c r="Q84" s="145"/>
      <c r="R84" s="155">
        <f>SUM(R4:R83)</f>
        <v>2182908.89</v>
      </c>
    </row>
  </sheetData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MIllichap-Merrick</dc:creator>
  <cp:lastModifiedBy>James MIllichap-Merrick</cp:lastModifiedBy>
  <dcterms:created xsi:type="dcterms:W3CDTF">2020-02-13T12:57:12Z</dcterms:created>
  <dcterms:modified xsi:type="dcterms:W3CDTF">2020-02-13T13:12:53Z</dcterms:modified>
</cp:coreProperties>
</file>